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15" i="5"/>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E79" i="14" s="1"/>
  <c r="C17" i="18"/>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8" i="13"/>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C13" i="15"/>
  <c r="C16" s="1"/>
  <c r="L6" i="17"/>
  <c r="L5" s="1"/>
  <c r="L16" i="16"/>
  <c r="L18" s="1"/>
  <c r="M13" i="14" s="1"/>
  <c r="I14" i="15"/>
  <c r="I16" s="1"/>
  <c r="J10" i="14" s="1"/>
  <c r="B13" i="16"/>
  <c r="C35"/>
  <c r="D8" i="17"/>
  <c r="E9" i="14"/>
  <c r="D14" i="15"/>
  <c r="P18" i="16"/>
  <c r="P22" s="1"/>
  <c r="Q39" i="14" s="1"/>
  <c r="N6" i="17"/>
  <c r="N5" s="1"/>
  <c r="J8"/>
  <c r="J12" s="1"/>
  <c r="K48" i="14" s="1"/>
  <c r="N16" i="16"/>
  <c r="F8" i="17"/>
  <c r="G22" i="14" s="1"/>
  <c r="N13" i="15"/>
  <c r="L13"/>
  <c r="L16" s="1"/>
  <c r="F13"/>
  <c r="D13"/>
  <c r="B67" i="22"/>
  <c r="M11"/>
  <c r="G10"/>
  <c r="M9"/>
  <c r="G8"/>
  <c r="M7"/>
  <c r="G6"/>
  <c r="G11"/>
  <c r="M8"/>
  <c r="G7"/>
  <c r="M10"/>
  <c r="G9"/>
  <c r="M6"/>
  <c r="L68" i="14"/>
  <c r="B12" i="48"/>
  <c r="Q12" s="1"/>
  <c r="O9" i="14"/>
  <c r="B7" i="15"/>
  <c r="O5" i="16"/>
  <c r="B38" i="13"/>
  <c r="B50" s="1"/>
  <c r="B11" i="15"/>
  <c r="B11" i="16"/>
  <c r="J9" i="14"/>
  <c r="B97" i="18"/>
  <c r="B101" s="1"/>
  <c r="C16" s="1"/>
  <c r="D78" i="14" s="1"/>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8" s="1"/>
  <c r="F9" i="14"/>
  <c r="D9"/>
  <c r="E19" i="19"/>
  <c r="F35" i="14" s="1"/>
  <c r="C11" i="48"/>
  <c r="D19" i="19"/>
  <c r="E35" i="14" s="1"/>
  <c r="C9"/>
  <c r="B11" i="48"/>
  <c r="E5" i="22"/>
  <c r="E14" s="1"/>
  <c r="D5"/>
  <c r="D14" s="1"/>
  <c r="B5"/>
  <c r="B14" s="1"/>
  <c r="P11" i="48"/>
  <c r="P28"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7" i="48"/>
  <c r="J24" s="1"/>
  <c r="P24"/>
  <c r="E5" i="17"/>
  <c r="C8"/>
  <c r="G24" i="48"/>
  <c r="I24"/>
  <c r="G81" i="14"/>
  <c r="D79"/>
  <c r="H79"/>
  <c r="H81" s="1"/>
  <c r="L79"/>
  <c r="L81" s="1"/>
  <c r="F79"/>
  <c r="J79"/>
  <c r="E68"/>
  <c r="E69" s="1"/>
  <c r="I68"/>
  <c r="M68"/>
  <c r="M69" s="1"/>
  <c r="D19" i="18"/>
  <c r="L19"/>
  <c r="B68" i="14"/>
  <c r="G68"/>
  <c r="G69" s="1"/>
  <c r="E81"/>
  <c r="M81"/>
  <c r="F19" i="18"/>
  <c r="D11" i="14"/>
  <c r="C4" i="48"/>
  <c r="D10" i="14"/>
  <c r="M17" i="18"/>
  <c r="M18"/>
  <c r="I5" i="48" l="1"/>
  <c r="I22" s="1"/>
  <c r="I31" s="1"/>
  <c r="L22" i="16"/>
  <c r="M39" i="14" s="1"/>
  <c r="I20" i="15"/>
  <c r="J36" i="14" s="1"/>
  <c r="B35" i="13"/>
  <c r="J15" i="14"/>
  <c r="P8" i="48"/>
  <c r="P25" s="1"/>
  <c r="D18" i="16"/>
  <c r="D22" s="1"/>
  <c r="E39" i="14" s="1"/>
  <c r="G31" i="20"/>
  <c r="H43" i="14" s="1"/>
  <c r="G12" i="22"/>
  <c r="D16" i="15"/>
  <c r="D20" s="1"/>
  <c r="K22" i="14"/>
  <c r="E8" i="17"/>
  <c r="F22" i="14" s="1"/>
  <c r="O18" i="16"/>
  <c r="O22" s="1"/>
  <c r="P39" i="14" s="1"/>
  <c r="B36" i="13"/>
  <c r="H13" i="48"/>
  <c r="H30" s="1"/>
  <c r="H12" i="22"/>
  <c r="B34" i="13"/>
  <c r="B46" s="1"/>
  <c r="E5" s="1"/>
  <c r="E8" s="1"/>
  <c r="E12" s="1"/>
  <c r="F37" i="14" s="1"/>
  <c r="N8" i="17"/>
  <c r="N12" s="1"/>
  <c r="O48" i="14" s="1"/>
  <c r="L8" i="17"/>
  <c r="L12" s="1"/>
  <c r="M48" i="14" s="1"/>
  <c r="M50" i="22"/>
  <c r="M54" s="1"/>
  <c r="M10" i="48" s="1"/>
  <c r="M27" s="1"/>
  <c r="G51" i="22"/>
  <c r="G50" s="1"/>
  <c r="G54" s="1"/>
  <c r="H18" i="14" s="1"/>
  <c r="P13"/>
  <c r="E22"/>
  <c r="B9" i="48"/>
  <c r="E100" i="18"/>
  <c r="E7" s="1"/>
  <c r="F67" i="14" s="1"/>
  <c r="F69" s="1"/>
  <c r="F7" i="48"/>
  <c r="F24" s="1"/>
  <c r="D100" i="18"/>
  <c r="M8"/>
  <c r="M28" i="48"/>
  <c r="F12" i="17"/>
  <c r="G48" i="14" s="1"/>
  <c r="C101" i="18"/>
  <c r="C100"/>
  <c r="B9"/>
  <c r="E101"/>
  <c r="E16" s="1"/>
  <c r="F78" i="14" s="1"/>
  <c r="F81" s="1"/>
  <c r="G101" i="18"/>
  <c r="D7" i="48"/>
  <c r="D24" s="1"/>
  <c r="H100" i="18"/>
  <c r="L41" i="14"/>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H5"/>
  <c r="H14" s="1"/>
  <c r="E5" i="15"/>
  <c r="O20"/>
  <c r="P36" i="14" s="1"/>
  <c r="P10"/>
  <c r="P20" i="15"/>
  <c r="Q36" i="14" s="1"/>
  <c r="Q41" s="1"/>
  <c r="Q53" s="1"/>
  <c r="Q10"/>
  <c r="Q15" s="1"/>
  <c r="Q23" s="1"/>
  <c r="J5" i="15"/>
  <c r="F4" i="48"/>
  <c r="F21" s="1"/>
  <c r="B69" i="14"/>
  <c r="B4" i="6" s="1"/>
  <c r="J23" i="14"/>
  <c r="L53"/>
  <c r="F5" i="15"/>
  <c r="F16" s="1"/>
  <c r="B5"/>
  <c r="B16" s="1"/>
  <c r="E13" i="14"/>
  <c r="B5" i="16"/>
  <c r="B18" s="1"/>
  <c r="C13" i="14" s="1"/>
  <c r="N5" i="15"/>
  <c r="N16" s="1"/>
  <c r="F12" i="13"/>
  <c r="G37" i="14" s="1"/>
  <c r="P5" i="48"/>
  <c r="P22" s="1"/>
  <c r="F13" i="16"/>
  <c r="E13"/>
  <c r="N13"/>
  <c r="J13"/>
  <c r="B47" i="13"/>
  <c r="N12" i="16"/>
  <c r="J12"/>
  <c r="F12"/>
  <c r="E12"/>
  <c r="Q11" i="48"/>
  <c r="O5"/>
  <c r="R9" i="14"/>
  <c r="O28" i="48"/>
  <c r="H22"/>
  <c r="K31"/>
  <c r="L26"/>
  <c r="B48" i="13"/>
  <c r="C48" s="1"/>
  <c r="N5" s="1"/>
  <c r="N8" s="1"/>
  <c r="N4" i="48" s="1"/>
  <c r="N21" s="1"/>
  <c r="M29"/>
  <c r="M25"/>
  <c r="M24"/>
  <c r="C50" i="13"/>
  <c r="J5" s="1"/>
  <c r="J8" s="1"/>
  <c r="C5" i="48"/>
  <c r="N7" l="1"/>
  <c r="N24" s="1"/>
  <c r="P31"/>
  <c r="G14" i="22"/>
  <c r="G9" i="48" s="1"/>
  <c r="I14"/>
  <c r="E7"/>
  <c r="E24" s="1"/>
  <c r="E12" i="17"/>
  <c r="F48" i="14" s="1"/>
  <c r="O8" i="48"/>
  <c r="O25" s="1"/>
  <c r="J16" i="15"/>
  <c r="K10" i="14" s="1"/>
  <c r="E16" i="15"/>
  <c r="F10" i="14" s="1"/>
  <c r="D8" i="48"/>
  <c r="D25" s="1"/>
  <c r="P41" i="14"/>
  <c r="P53" s="1"/>
  <c r="O22"/>
  <c r="L7" i="48"/>
  <c r="L24" s="1"/>
  <c r="M22" i="14"/>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R17" i="14"/>
  <c r="Q13" i="48"/>
  <c r="I19" i="14"/>
  <c r="I20" s="1"/>
  <c r="I23" s="1"/>
  <c r="M18" i="22"/>
  <c r="N45" i="14" s="1"/>
  <c r="M9" i="48"/>
  <c r="N19" i="14"/>
  <c r="P14" i="48"/>
  <c r="B8"/>
  <c r="J5"/>
  <c r="J22" s="1"/>
  <c r="J20" i="15"/>
  <c r="K36" i="14" s="1"/>
  <c r="J55"/>
  <c r="L55"/>
  <c r="E36"/>
  <c r="E41" s="1"/>
  <c r="N20" i="15"/>
  <c r="O36" i="14" s="1"/>
  <c r="O10"/>
  <c r="L5" i="48"/>
  <c r="L22" s="1"/>
  <c r="M10" i="14"/>
  <c r="M15" s="1"/>
  <c r="F20" i="15"/>
  <c r="G36" i="14" s="1"/>
  <c r="G10"/>
  <c r="C10"/>
  <c r="B5" i="48"/>
  <c r="D23" i="14"/>
  <c r="B20" i="6" s="1"/>
  <c r="B22" s="1"/>
  <c r="Q55" i="14"/>
  <c r="N5" i="16"/>
  <c r="F5" i="48"/>
  <c r="F22" s="1"/>
  <c r="E5" i="16"/>
  <c r="J5"/>
  <c r="C35" i="13"/>
  <c r="F5" i="16"/>
  <c r="C36" i="13"/>
  <c r="O22" i="48"/>
  <c r="O31" s="1"/>
  <c r="N12" i="13"/>
  <c r="O37" i="14" s="1"/>
  <c r="O11"/>
  <c r="C38" i="13"/>
  <c r="C39"/>
  <c r="C32"/>
  <c r="C34"/>
  <c r="E4" i="48"/>
  <c r="E21" s="1"/>
  <c r="F11" i="14"/>
  <c r="J4" i="48"/>
  <c r="J12" i="13"/>
  <c r="K37" i="14" s="1"/>
  <c r="K11"/>
  <c r="N5" i="48"/>
  <c r="L20" i="15"/>
  <c r="D31" i="48" l="1"/>
  <c r="P55" i="14"/>
  <c r="E5" i="48"/>
  <c r="E22" s="1"/>
  <c r="N18" i="16"/>
  <c r="N8" i="48" s="1"/>
  <c r="L31"/>
  <c r="N20" i="14"/>
  <c r="N23" s="1"/>
  <c r="E20" i="15"/>
  <c r="F36" i="14" s="1"/>
  <c r="F18" i="16"/>
  <c r="G13" i="14" s="1"/>
  <c r="G15" s="1"/>
  <c r="G23" s="1"/>
  <c r="J18" i="16"/>
  <c r="K13" i="14" s="1"/>
  <c r="K15" s="1"/>
  <c r="K23" s="1"/>
  <c r="J9" i="18"/>
  <c r="M7"/>
  <c r="M9" s="1"/>
  <c r="M16"/>
  <c r="M19" s="1"/>
  <c r="E18" i="16"/>
  <c r="E22" s="1"/>
  <c r="F39" i="14" s="1"/>
  <c r="F41" s="1"/>
  <c r="F53" s="1"/>
  <c r="R22"/>
  <c r="Q7" i="48"/>
  <c r="N46" i="14"/>
  <c r="N53" s="1"/>
  <c r="G18" i="22"/>
  <c r="H45" i="14" s="1"/>
  <c r="H46" s="1"/>
  <c r="H53" s="1"/>
  <c r="I19" i="18"/>
  <c r="J19"/>
  <c r="K78" i="14"/>
  <c r="K81" s="1"/>
  <c r="I81"/>
  <c r="O78"/>
  <c r="O81" s="1"/>
  <c r="B17" i="6" s="1"/>
  <c r="E23" i="14"/>
  <c r="D14" i="48"/>
  <c r="B14"/>
  <c r="J69" i="14"/>
  <c r="C67"/>
  <c r="C69" s="1"/>
  <c r="H19"/>
  <c r="H20" s="1"/>
  <c r="H23" s="1"/>
  <c r="J81"/>
  <c r="H18" i="22"/>
  <c r="I45" i="14" s="1"/>
  <c r="I46" s="1"/>
  <c r="I53" s="1"/>
  <c r="I55" s="1"/>
  <c r="G27" i="48"/>
  <c r="Q10"/>
  <c r="H9"/>
  <c r="Q9" s="1"/>
  <c r="M14"/>
  <c r="M26"/>
  <c r="M31" s="1"/>
  <c r="G26"/>
  <c r="G14"/>
  <c r="C15" i="14"/>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F22" i="16"/>
  <c r="G39" i="14" s="1"/>
  <c r="G41" s="1"/>
  <c r="F8" i="48"/>
  <c r="Q4"/>
  <c r="N22"/>
  <c r="R11" i="14"/>
  <c r="J21" i="48"/>
  <c r="R10" i="14"/>
  <c r="O13" l="1"/>
  <c r="O15" s="1"/>
  <c r="N22" i="16"/>
  <c r="O39" i="14" s="1"/>
  <c r="O41" s="1"/>
  <c r="O53" s="1"/>
  <c r="E8" i="48"/>
  <c r="E25" s="1"/>
  <c r="E31" s="1"/>
  <c r="F13" i="14"/>
  <c r="F15" s="1"/>
  <c r="F23" s="1"/>
  <c r="F55" s="1"/>
  <c r="J22" i="16"/>
  <c r="K39" i="14" s="1"/>
  <c r="K41" s="1"/>
  <c r="K53" s="1"/>
  <c r="K55" s="1"/>
  <c r="J8" i="48"/>
  <c r="J25" s="1"/>
  <c r="J31" s="1"/>
  <c r="N25"/>
  <c r="N31" s="1"/>
  <c r="N14"/>
  <c r="N55" i="14"/>
  <c r="H55"/>
  <c r="E55"/>
  <c r="C78"/>
  <c r="C81" s="1"/>
  <c r="J14" i="48"/>
  <c r="R19" i="14"/>
  <c r="R20" s="1"/>
  <c r="H14" i="48"/>
  <c r="G31"/>
  <c r="H26"/>
  <c r="H31" s="1"/>
  <c r="G53" i="14"/>
  <c r="G55" s="1"/>
  <c r="O69" s="1"/>
  <c r="B9" i="6" s="1"/>
  <c r="B12" s="1"/>
  <c r="M53" i="14"/>
  <c r="M55" s="1"/>
  <c r="C12" i="13"/>
  <c r="D37" i="14" s="1"/>
  <c r="D41" s="1"/>
  <c r="C23" i="48"/>
  <c r="C24"/>
  <c r="C27"/>
  <c r="C28"/>
  <c r="C22"/>
  <c r="C25"/>
  <c r="C29"/>
  <c r="C21"/>
  <c r="C26"/>
  <c r="F25"/>
  <c r="F31" s="1"/>
  <c r="F14"/>
  <c r="E14" l="1"/>
  <c r="R13" i="14"/>
  <c r="R15" s="1"/>
  <c r="R23" s="1"/>
  <c r="Q8" i="48"/>
  <c r="Q14" s="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<sst xmlns="http://schemas.openxmlformats.org/spreadsheetml/2006/main" count="1914" uniqueCount="809">
  <si>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</si>
  <si>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</si>
  <si>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</si>
  <si>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</si>
  <si>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</si>
  <si>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</si>
  <si>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</si>
  <si>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</si>
  <si>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</si>
  <si>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</si>
  <si>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</si>
  <si>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</si>
  <si>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</si>
  <si>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</si>
  <si>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</si>
  <si>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</si>
  <si>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</si>
  <si>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</si>
  <si>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</si>
  <si>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</si>
  <si>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</si>
  <si>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</si>
  <si>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</si>
  <si>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</si>
  <si>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</si>
  <si>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</si>
  <si>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</si>
  <si>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</si>
  <si>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</si>
  <si>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</si>
  <si>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</si>
  <si>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</si>
  <si>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</si>
  <si>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</si>
  <si>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</si>
  <si>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</si>
  <si>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</si>
  <si>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</si>
  <si>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</si>
  <si>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</si>
  <si>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</si>
  <si>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</si>
  <si>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</si>
  <si>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</si>
  <si>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</si>
  <si>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</si>
  <si>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</si>
  <si>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</si>
  <si>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</si>
  <si>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</si>
  <si>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</si>
  <si>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</si>
  <si>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</si>
  <si>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</si>
  <si>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</si>
  <si>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</si>
  <si>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</si>
  <si>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</si>
  <si>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</si>
  <si>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</si>
  <si>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</si>
  <si>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</si>
  <si>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</si>
  <si>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</si>
  <si>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</si>
  <si>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</si>
  <si>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</si>
  <si>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</si>
  <si>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</si>
  <si>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</si>
  <si>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</si>
  <si>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</si>
  <si>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</si>
  <si>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</si>
  <si>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</si>
  <si>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</si>
  <si>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</si>
  <si>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</si>
  <si>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</si>
  <si>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</si>
  <si>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</si>
  <si>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</si>
  <si>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</si>
  <si>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</si>
  <si>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</si>
  <si>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</si>
  <si>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</si>
  <si>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</si>
  <si>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</si>
  <si>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</si>
  <si>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</si>
  <si>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</si>
  <si>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</si>
  <si>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</si>
  <si>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</si>
  <si>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</si>
  <si>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</si>
  <si>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</si>
  <si>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</si>
  <si>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</si>
  <si>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</si>
  <si>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</si>
  <si>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</si>
  <si>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</si>
  <si>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</si>
  <si>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</si>
  <si>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</si>
  <si>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</si>
  <si>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</si>
  <si>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</si>
  <si>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</si>
  <si>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</si>
  <si>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</si>
  <si>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</si>
  <si>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</si>
  <si>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</si>
  <si>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</si>
  <si>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</si>
  <si>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</si>
  <si>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</si>
  <si>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</si>
  <si>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</si>
  <si>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</si>
  <si>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</si>
  <si>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</si>
  <si>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</si>
  <si>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</si>
  <si>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</si>
  <si>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</si>
  <si>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</si>
  <si>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</si>
  <si>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</si>
  <si>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</si>
  <si>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</si>
  <si>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</si>
  <si>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</si>
  <si>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</si>
  <si>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</si>
  <si>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</si>
  <si>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</si>
  <si>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</si>
  <si>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</si>
  <si>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</si>
  <si>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</si>
  <si>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</si>
  <si>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</si>
  <si>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</si>
  <si>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</si>
  <si>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</si>
  <si>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</si>
  <si>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</si>
  <si>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</si>
  <si>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</si>
  <si>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</si>
  <si>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</si>
  <si>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</si>
  <si>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</si>
  <si>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</si>
  <si>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</si>
  <si>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</si>
  <si>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</si>
  <si>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</si>
  <si>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</si>
  <si>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</si>
  <si>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</si>
  <si>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</si>
  <si>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</si>
  <si>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</si>
  <si>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</si>
  <si>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</si>
  <si>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</si>
  <si>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</si>
  <si>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</si>
  <si>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</si>
  <si>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</si>
  <si>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</si>
  <si>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</si>
  <si>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</si>
  <si>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</si>
  <si>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</si>
  <si>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</si>
  <si>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</si>
  <si>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</si>
  <si>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</si>
  <si>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</si>
  <si>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</si>
  <si>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</si>
  <si>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</si>
  <si>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</si>
  <si>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</si>
  <si>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</si>
  <si>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</si>
  <si>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</si>
  <si>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</si>
  <si>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</si>
  <si>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</si>
  <si>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</si>
  <si>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</si>
  <si>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</si>
  <si>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</si>
  <si>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</si>
  <si>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</si>
  <si>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</si>
  <si>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</si>
  <si>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</si>
  <si>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</si>
  <si>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</si>
  <si>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</si>
  <si>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</si>
  <si>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</si>
  <si>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</si>
  <si>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</si>
  <si>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</si>
  <si>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</si>
  <si>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</si>
  <si>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</si>
  <si>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</si>
  <si>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</si>
  <si>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</si>
  <si>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</si>
  <si>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</si>
  <si>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</si>
  <si>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</si>
  <si>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</si>
  <si>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</si>
  <si>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</si>
  <si>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</si>
  <si>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</si>
  <si>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</si>
  <si>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</si>
  <si>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</si>
  <si>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</si>
  <si>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</si>
  <si>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</si>
  <si>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</si>
  <si>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</si>
  <si>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</si>
  <si>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</si>
  <si>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</si>
  <si>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</si>
  <si>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</si>
  <si>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</si>
  <si>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</si>
  <si>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</si>
  <si>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</si>
  <si>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</si>
  <si>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</si>
  <si>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</si>
  <si>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</si>
  <si>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</si>
  <si>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</si>
  <si>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</si>
  <si>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</si>
  <si>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</si>
  <si>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</si>
  <si>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</si>
  <si>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</si>
  <si>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</si>
  <si>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</si>
  <si>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</si>
  <si>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</si>
  <si>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</si>
  <si>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</si>
  <si>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</si>
  <si>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</si>
  <si>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</si>
  <si>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</si>
  <si>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</si>
  <si>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</si>
  <si>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</si>
  <si>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</si>
  <si>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</si>
  <si>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</si>
  <si>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</si>
  <si>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</si>
  <si>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</si>
  <si>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</si>
  <si>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</si>
  <si>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</si>
  <si>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</si>
  <si>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</si>
  <si>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</si>
  <si>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</si>
  <si>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</si>
  <si>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</si>
  <si>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</si>
  <si>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</si>
  <si>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</si>
  <si>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</si>
  <si>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</si>
  <si>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</si>
  <si>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</si>
  <si>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</si>
  <si>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</si>
  <si>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</si>
  <si>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</si>
  <si>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</si>
  <si>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</si>
  <si>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</si>
  <si>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</si>
  <si>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</si>
  <si>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</si>
  <si>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</si>
  <si>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</si>
  <si>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</si>
  <si>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</si>
  <si>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</si>
  <si>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</si>
  <si>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</si>
  <si>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</si>
  <si>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</si>
  <si>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</si>
  <si>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</si>
  <si>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</si>
  <si>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</si>
  <si>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</si>
  <si>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</si>
  <si>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</si>
  <si>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</si>
  <si>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</si>
  <si>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</si>
  <si>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</si>
  <si>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</si>
  <si>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</si>
  <si>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</si>
  <si>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</si>
  <si>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</si>
  <si>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</si>
  <si>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</si>
  <si>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</si>
  <si>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</si>
  <si>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</si>
  <si>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</si>
  <si>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</si>
  <si>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</si>
  <si>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</si>
  <si>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</si>
  <si>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</si>
  <si>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</si>
  <si>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</si>
  <si>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</si>
  <si>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</si>
  <si>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</si>
  <si>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</si>
  <si>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</si>
  <si>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</si>
  <si>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</si>
  <si>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</si>
  <si>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</si>
  <si>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</si>
  <si>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</si>
  <si>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</si>
  <si>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</si>
  <si>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</si>
  <si>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</si>
  <si>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</si>
  <si>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</si>
  <si>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</si>
  <si>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</si>
  <si>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</si>
  <si>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</si>
  <si>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</si>
  <si>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</si>
  <si>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</si>
  <si>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</si>
  <si>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</si>
  <si>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</si>
  <si>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</si>
  <si>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</si>
  <si>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</si>
  <si>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</si>
  <si>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</si>
  <si>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</si>
  <si>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</si>
  <si>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</si>
  <si>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</si>
  <si>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</si>
  <si>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</si>
  <si>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</si>
  <si>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</si>
  <si>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</si>
  <si>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</si>
  <si>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</si>
  <si>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</si>
  <si>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</si>
  <si>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</si>
  <si>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</si>
  <si>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</si>
  <si>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</si>
  <si>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</si>
  <si>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</si>
  <si>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</si>
  <si>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</si>
  <si>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</si>
  <si>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</si>
  <si>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</si>
  <si>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</si>
  <si>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</si>
  <si>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</si>
  <si>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</si>
  <si>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</si>
  <si>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</si>
  <si>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</si>
  <si>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</si>
  <si>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</si>
  <si>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</si>
  <si>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</si>
  <si>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</si>
  <si>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</si>
  <si>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</si>
  <si>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</si>
  <si>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</si>
  <si>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</si>
  <si>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</si>
  <si>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</si>
  <si>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</si>
  <si>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</si>
  <si>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</si>
  <si>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</si>
  <si>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</si>
  <si>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</si>
  <si>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</si>
  <si>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</si>
  <si>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</si>
  <si>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</si>
  <si>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</si>
  <si>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</si>
  <si>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</si>
  <si>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</si>
  <si>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</si>
  <si>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</si>
  <si>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</si>
  <si>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</si>
  <si>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</si>
  <si>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</si>
  <si>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</si>
  <si>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</si>
  <si>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</si>
  <si>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</si>
  <si>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</si>
  <si>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</si>
  <si>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</si>
  <si>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</si>
  <si>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</si>
  <si>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</si>
  <si>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</si>
  <si>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</si>
  <si>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</si>
  <si>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</si>
  <si>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</si>
  <si>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</si>
  <si>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</si>
  <si>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</si>
  <si>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</si>
  <si>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</si>
  <si>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</si>
  <si>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</si>
  <si>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</si>
  <si>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</si>
  <si>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</si>
  <si>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</si>
  <si>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</si>
  <si>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</si>
  <si>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</si>
  <si>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</si>
  <si>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</si>
  <si>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</si>
  <si>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</si>
  <si>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</si>
  <si>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</si>
  <si>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</si>
  <si>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</si>
  <si>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</si>
  <si>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</si>
  <si>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</si>
  <si>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</si>
  <si>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</si>
  <si>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</si>
  <si>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</si>
  <si>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</si>
  <si>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</si>
  <si>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</si>
  <si>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</si>
  <si>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</si>
  <si>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</si>
  <si>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</si>
  <si>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</si>
  <si>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</si>
  <si>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</si>
  <si>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</si>
  <si>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</si>
  <si>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</si>
  <si>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</si>
  <si>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</si>
  <si>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</si>
  <si>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</si>
  <si>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</si>
  <si>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</si>
  <si>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</si>
  <si>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</si>
  <si>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</si>
  <si>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</si>
  <si>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</si>
  <si>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</si>
  <si>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</si>
  <si>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</si>
  <si>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</si>
  <si>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</si>
  <si>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</si>
  <si>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</si>
  <si>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</si>
  <si>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</si>
  <si>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</si>
  <si>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</si>
  <si>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</si>
  <si>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</si>
  <si>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</si>
  <si>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</si>
  <si>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</si>
  <si>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</si>
  <si>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</si>
  <si>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</si>
  <si>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</si>
  <si>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</si>
  <si>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</si>
  <si>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</si>
  <si>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</si>
  <si>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</si>
  <si>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</si>
  <si>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</si>
  <si>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</si>
  <si>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</si>
  <si>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</si>
  <si>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</si>
  <si>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</si>
  <si>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</si>
  <si>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</si>
  <si>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</si>
  <si>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</si>
  <si>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</si>
  <si>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</si>
  <si>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</si>
  <si>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</si>
  <si>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</si>
  <si>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</si>
  <si>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</si>
  <si>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</si>
  <si>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</si>
  <si>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</si>
  <si>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</si>
  <si>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</si>
  <si>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</si>
  <si>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</si>
  <si>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</si>
  <si>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</si>
  <si>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</si>
  <si>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</si>
  <si>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</si>
  <si>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</si>
  <si>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</si>
  <si>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</si>
  <si>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</si>
  <si>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</si>
  <si>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</si>
  <si>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</si>
  <si>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</si>
  <si>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</si>
  <si>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</si>
  <si>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</si>
  <si>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</si>
  <si>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</si>
  <si>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</si>
  <si>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</si>
  <si>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</si>
  <si>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</si>
  <si>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</si>
  <si>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</si>
  <si>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</si>
  <si>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</si>
  <si>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</si>
  <si>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</si>
  <si>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</si>
  <si>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</si>
  <si>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</si>
  <si>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</si>
  <si>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</si>
  <si>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</si>
  <si>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</si>
  <si>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</si>
  <si>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</si>
  <si>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</si>
  <si>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</si>
  <si>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</si>
  <si>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</si>
  <si>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</si>
  <si>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</si>
  <si>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</si>
  <si>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</si>
  <si>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</si>
  <si>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</si>
  <si>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</si>
  <si>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</si>
  <si>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</si>
  <si>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</si>
  <si>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</si>
  <si>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</si>
  <si>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</si>
  <si>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</si>
  <si>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</si>
  <si>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</si>
  <si>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</si>
  <si>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</si>
  <si>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</si>
  <si>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</si>
  <si>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</si>
  <si>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</si>
  <si>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</si>
  <si>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</si>
  <si>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</si>
  <si>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</si>
  <si>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</si>
  <si>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</si>
  <si>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</si>
  <si>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</si>
  <si>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</si>
  <si>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</si>
  <si>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</si>
  <si>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</si>
  <si>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</si>
  <si>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</si>
  <si>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</si>
  <si>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</si>
  <si>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</si>
  <si>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</si>
  <si>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</si>
  <si>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</si>
  <si>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</si>
  <si>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</si>
  <si>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</si>
  <si>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</si>
  <si>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</si>
  <si>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</si>
  <si>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</si>
  <si>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</si>
  <si>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</si>
  <si>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</si>
  <si>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</si>
  <si>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</si>
  <si>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</si>
  <si>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</si>
  <si>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</si>
  <si>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</si>
  <si>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</si>
  <si>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</si>
  <si>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</si>
  <si>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</si>
  <si>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</si>
  <si>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</si>
  <si>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</si>
  <si>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</si>
  <si>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</si>
  <si>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</si>
  <si>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</si>
  <si>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</si>
  <si>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</si>
  <si>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</si>
  <si>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</si>
  <si>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</si>
  <si>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</si>
  <si>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</si>
  <si>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</si>
  <si>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</si>
  <si>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</si>
  <si>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</si>
  <si>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</si>
  <si>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</si>
  <si>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</si>
  <si>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</si>
  <si>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</si>
  <si>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</si>
  <si>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</si>
  <si>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</si>
  <si>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</si>
  <si>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</si>
  <si>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</si>
  <si>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</si>
  <si>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</si>
  <si>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</si>
  <si>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</si>
  <si>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</si>
  <si>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</si>
  <si>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</si>
  <si>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</si>
  <si>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</si>
  <si>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</si>
  <si>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</si>
  <si>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</si>
  <si>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</si>
  <si>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</si>
  <si>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</si>
  <si>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</si>
  <si>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</si>
  <si>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</si>
  <si>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</si>
  <si>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</si>
  <si>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</si>
  <si>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</si>
  <si>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</si>
  <si>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</si>
  <si>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</si>
  <si>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</si>
  <si>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</si>
  <si>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</si>
  <si>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</si>
  <si>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</si>
  <si>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</si>
  <si>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</si>
  <si>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</si>
  <si>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</si>
  <si>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</si>
  <si>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</si>
  <si>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</si>
  <si>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</si>
  <si>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</si>
  <si>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</si>
  <si>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</si>
  <si>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</si>
  <si>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</si>
  <si>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</si>
  <si>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</si>
  <si>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</si>
  <si>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</si>
  <si>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</si>
  <si>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</si>
  <si>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</si>
  <si>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</si>
  <si>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</si>
  <si>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</si>
  <si>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</si>
  <si>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</si>
  <si>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</si>
  <si>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</si>
  <si>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</si>
  <si>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</si>
  <si>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</si>
  <si>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</si>
  <si>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</si>
  <si>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</si>
  <si>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</si>
  <si>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</si>
  <si>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</si>
  <si>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</si>
  <si>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</si>
  <si>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</si>
  <si>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</si>
  <si>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</si>
  <si>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</si>
  <si>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</si>
  <si>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</si>
  <si>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</si>
  <si>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</si>
  <si>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</si>
  <si>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</si>
  <si>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</si>
  <si>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</si>
  <si>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</si>
  <si>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</si>
  <si>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</si>
  <si>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</si>
  <si>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</si>
  <si>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</si>
  <si>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</si>
  <si>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</si>
  <si>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</si>
  <si>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</si>
  <si>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</si>
  <si>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</si>
  <si>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</si>
  <si>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</si>
  <si>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</si>
  <si>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</si>
  <si>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</si>
  <si>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</si>
  <si>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</si>
  <si>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</si>
  <si>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</si>
  <si>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</si>
  <si>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</si>
  <si>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</si>
  <si>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</si>
  <si>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</si>
  <si>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</si>
  <si>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</si>
  <si>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</si>
  <si>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</si>
  <si>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</si>
  <si>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</si>
  <si>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</si>
  <si>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</si>
  <si>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</si>
  <si>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</si>
  <si>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12025</t>
  </si>
  <si>
    <t>MECHELEN</t>
  </si>
  <si>
    <t>Eandis (januari 2018); Infrax (juni 2018)</t>
  </si>
  <si>
    <t>MOW (september 2017)</t>
  </si>
  <si>
    <t>referentietaak LNE (2017); Jaarverslag De Lijn (2016)</t>
  </si>
  <si>
    <t>VEA (april 2018)</t>
  </si>
  <si>
    <t>VEA (januari 2017)</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</si>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</sst>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18">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188" xfId="3" applyNumberFormat="1" applyFont="1" applyBorder="1"/>
    <xf numFmtId="0" fontId="0" fillId="0" borderId="188"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545349.47570970887</c:v>
                </c:pt>
                <c:pt idx="1">
                  <c:v>458886.23092991416</c:v>
                </c:pt>
                <c:pt idx="2">
                  <c:v>4259.0870000000004</c:v>
                </c:pt>
                <c:pt idx="3">
                  <c:v>27059.989318597225</c:v>
                </c:pt>
                <c:pt idx="4">
                  <c:v>561906.77195041371</c:v>
                </c:pt>
                <c:pt idx="5">
                  <c:v>675857.89046016661</c:v>
                </c:pt>
                <c:pt idx="6">
                  <c:v>11009.979538592301</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2553984"/>
        <c:axId val="182584448"/>
      </c:barChart>
      <c:catAx>
        <c:axId val="182553984"/>
        <c:scaling>
          <c:orientation val="minMax"/>
        </c:scaling>
        <c:axPos val="b"/>
        <c:numFmt formatCode="General" sourceLinked="0"/>
        <c:tickLblPos val="nextTo"/>
        <c:crossAx val="182584448"/>
        <c:crosses val="autoZero"/>
        <c:auto val="1"/>
        <c:lblAlgn val="ctr"/>
        <c:lblOffset val="100"/>
      </c:catAx>
      <c:valAx>
        <c:axId val="182584448"/>
        <c:scaling>
          <c:orientation val="minMax"/>
        </c:scaling>
        <c:axPos val="l"/>
        <c:majorGridlines/>
        <c:numFmt formatCode="#,##0" sourceLinked="1"/>
        <c:tickLblPos val="nextTo"/>
        <c:crossAx val="18255398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545349.47570970887</c:v>
                </c:pt>
                <c:pt idx="1">
                  <c:v>458886.23092991416</c:v>
                </c:pt>
                <c:pt idx="2">
                  <c:v>4259.0870000000004</c:v>
                </c:pt>
                <c:pt idx="3">
                  <c:v>27059.989318597225</c:v>
                </c:pt>
                <c:pt idx="4">
                  <c:v>561906.77195041371</c:v>
                </c:pt>
                <c:pt idx="5">
                  <c:v>675857.89046016661</c:v>
                </c:pt>
                <c:pt idx="6">
                  <c:v>11009.979538592301</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104083.17223150503</c:v>
                </c:pt>
                <c:pt idx="1">
                  <c:v>94348.76518992192</c:v>
                </c:pt>
                <c:pt idx="2">
                  <c:v>914.37329724532901</c:v>
                </c:pt>
                <c:pt idx="3">
                  <c:v>5746.4226823815898</c:v>
                </c:pt>
                <c:pt idx="4">
                  <c:v>108719.86198875614</c:v>
                </c:pt>
                <c:pt idx="5">
                  <c:v>169177.2291573901</c:v>
                </c:pt>
                <c:pt idx="6">
                  <c:v>2781.6775328653389</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3085312"/>
        <c:axId val="183181312"/>
      </c:barChart>
      <c:catAx>
        <c:axId val="183085312"/>
        <c:scaling>
          <c:orientation val="minMax"/>
        </c:scaling>
        <c:axPos val="b"/>
        <c:numFmt formatCode="General" sourceLinked="0"/>
        <c:tickLblPos val="nextTo"/>
        <c:crossAx val="183181312"/>
        <c:crosses val="autoZero"/>
        <c:auto val="1"/>
        <c:lblAlgn val="ctr"/>
        <c:lblOffset val="100"/>
      </c:catAx>
      <c:valAx>
        <c:axId val="183181312"/>
        <c:scaling>
          <c:orientation val="minMax"/>
        </c:scaling>
        <c:axPos val="l"/>
        <c:majorGridlines/>
        <c:numFmt formatCode="#,##0" sourceLinked="1"/>
        <c:tickLblPos val="nextTo"/>
        <c:crossAx val="18308531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104083.17223150503</c:v>
                </c:pt>
                <c:pt idx="1">
                  <c:v>94348.76518992192</c:v>
                </c:pt>
                <c:pt idx="2">
                  <c:v>914.37329724532901</c:v>
                </c:pt>
                <c:pt idx="3">
                  <c:v>5746.4226823815898</c:v>
                </c:pt>
                <c:pt idx="4">
                  <c:v>108719.86198875614</c:v>
                </c:pt>
                <c:pt idx="5">
                  <c:v>169177.2291573901</c:v>
                </c:pt>
                <c:pt idx="6">
                  <c:v>2781.6775328653389</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12025</v>
      </c>
      <c r="B6" s="415"/>
      <c r="C6" s="416"/>
    </row>
    <row r="7" spans="1:7" s="413" customFormat="1" ht="15.75" customHeight="1">
      <c r="A7" s="417" t="str">
        <f>txtMunicipality</f>
        <v>MECHELEN</v>
      </c>
      <c r="B7" s="415"/>
      <c r="C7" s="416"/>
    </row>
    <row r="8" spans="1:7" ht="15.75" thickBot="1">
      <c r="A8" s="45"/>
      <c r="B8" s="108"/>
      <c r="C8" s="109"/>
    </row>
    <row r="9" spans="1:7" s="406" customFormat="1" ht="15.75" thickBot="1">
      <c r="A9" s="430" t="s">
        <v>357</v>
      </c>
      <c r="B9" s="433"/>
      <c r="C9" s="434"/>
    </row>
    <row r="10" spans="1:7" s="15" customFormat="1" ht="57.75" customHeight="1" thickBot="1">
      <c r="A10" s="1015" t="s">
        <v>797</v>
      </c>
      <c r="B10" s="1016"/>
      <c r="C10" s="101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18" t="s">
        <v>520</v>
      </c>
      <c r="C16" s="101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12025</v>
      </c>
      <c r="B1" s="332"/>
      <c r="C1" s="332"/>
      <c r="D1" s="332"/>
      <c r="E1" s="332"/>
      <c r="F1" s="333"/>
    </row>
    <row r="3" spans="1:6" ht="19.5">
      <c r="A3" s="335" t="s">
        <v>0</v>
      </c>
    </row>
    <row r="4" spans="1:6" ht="22.5">
      <c r="A4" s="1211" t="s">
        <v>801</v>
      </c>
    </row>
    <row r="5" spans="1:6" ht="22.5">
      <c r="A5" s="1211" t="s">
        <v>802</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35693</v>
      </c>
      <c r="C9" s="342">
        <v>37570</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1911.76</v>
      </c>
    </row>
    <row r="15" spans="1:6">
      <c r="A15" s="348" t="s">
        <v>184</v>
      </c>
      <c r="B15" s="334">
        <v>6</v>
      </c>
    </row>
    <row r="16" spans="1:6">
      <c r="A16" s="348" t="s">
        <v>6</v>
      </c>
      <c r="B16" s="334">
        <v>254</v>
      </c>
    </row>
    <row r="17" spans="1:6">
      <c r="A17" s="348" t="s">
        <v>7</v>
      </c>
      <c r="B17" s="334">
        <v>266</v>
      </c>
    </row>
    <row r="18" spans="1:6">
      <c r="A18" s="348" t="s">
        <v>8</v>
      </c>
      <c r="B18" s="334">
        <v>441</v>
      </c>
    </row>
    <row r="19" spans="1:6">
      <c r="A19" s="348" t="s">
        <v>9</v>
      </c>
      <c r="B19" s="334">
        <v>411</v>
      </c>
    </row>
    <row r="20" spans="1:6">
      <c r="A20" s="348" t="s">
        <v>10</v>
      </c>
      <c r="B20" s="334">
        <v>472</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241</v>
      </c>
    </row>
    <row r="27" spans="1:6">
      <c r="A27" s="348" t="s">
        <v>17</v>
      </c>
      <c r="B27" s="334">
        <v>0</v>
      </c>
    </row>
    <row r="28" spans="1:6" s="356" customFormat="1">
      <c r="A28" s="355" t="s">
        <v>18</v>
      </c>
      <c r="B28" s="355">
        <v>3</v>
      </c>
    </row>
    <row r="29" spans="1:6">
      <c r="A29" s="355" t="s">
        <v>744</v>
      </c>
      <c r="B29" s="355">
        <v>328</v>
      </c>
      <c r="C29" s="356"/>
      <c r="D29" s="356"/>
      <c r="E29" s="356"/>
      <c r="F29" s="356"/>
    </row>
    <row r="30" spans="1:6">
      <c r="A30" s="341" t="s">
        <v>745</v>
      </c>
      <c r="B30" s="341">
        <v>79</v>
      </c>
      <c r="C30" s="342"/>
      <c r="D30" s="342"/>
      <c r="E30" s="342"/>
      <c r="F30" s="342"/>
    </row>
    <row r="31" spans="1:6" ht="15.75" thickBot="1">
      <c r="A31" s="343"/>
    </row>
    <row r="32" spans="1:6" ht="20.25" thickBot="1">
      <c r="A32" s="336" t="s">
        <v>19</v>
      </c>
      <c r="B32" s="337" t="s">
        <v>394</v>
      </c>
      <c r="C32" s="337" t="s">
        <v>803</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13</v>
      </c>
      <c r="D36" s="334">
        <v>3009777.5460719499</v>
      </c>
      <c r="E36" s="334">
        <v>10</v>
      </c>
      <c r="F36" s="334">
        <v>2362565.2272443902</v>
      </c>
    </row>
    <row r="37" spans="1:6">
      <c r="A37" s="348" t="s">
        <v>25</v>
      </c>
      <c r="B37" s="348" t="s">
        <v>28</v>
      </c>
      <c r="C37" s="334">
        <v>0</v>
      </c>
      <c r="D37" s="334">
        <v>0</v>
      </c>
      <c r="E37" s="334">
        <v>0</v>
      </c>
      <c r="F37" s="334">
        <v>0</v>
      </c>
    </row>
    <row r="38" spans="1:6">
      <c r="A38" s="348" t="s">
        <v>25</v>
      </c>
      <c r="B38" s="348" t="s">
        <v>29</v>
      </c>
      <c r="C38" s="334">
        <v>1</v>
      </c>
      <c r="D38" s="334">
        <v>11494.0745988486</v>
      </c>
      <c r="E38" s="334">
        <v>6</v>
      </c>
      <c r="F38" s="334">
        <v>313756.47650443402</v>
      </c>
    </row>
    <row r="39" spans="1:6">
      <c r="A39" s="348" t="s">
        <v>30</v>
      </c>
      <c r="B39" s="348" t="s">
        <v>31</v>
      </c>
      <c r="C39" s="334">
        <v>29510</v>
      </c>
      <c r="D39" s="334">
        <v>428747016.85961503</v>
      </c>
      <c r="E39" s="334">
        <v>36257</v>
      </c>
      <c r="F39" s="334">
        <v>105595565.436371</v>
      </c>
    </row>
    <row r="40" spans="1:6">
      <c r="A40" s="348" t="s">
        <v>30</v>
      </c>
      <c r="B40" s="348" t="s">
        <v>29</v>
      </c>
      <c r="C40" s="334">
        <v>0</v>
      </c>
      <c r="D40" s="334">
        <v>0</v>
      </c>
      <c r="E40" s="334">
        <v>0</v>
      </c>
      <c r="F40" s="334">
        <v>0</v>
      </c>
    </row>
    <row r="41" spans="1:6">
      <c r="A41" s="348" t="s">
        <v>32</v>
      </c>
      <c r="B41" s="348" t="s">
        <v>33</v>
      </c>
      <c r="C41" s="334">
        <v>251</v>
      </c>
      <c r="D41" s="334">
        <v>12640176.946836401</v>
      </c>
      <c r="E41" s="334">
        <v>477</v>
      </c>
      <c r="F41" s="334">
        <v>11277436.507607499</v>
      </c>
    </row>
    <row r="42" spans="1:6">
      <c r="A42" s="348" t="s">
        <v>32</v>
      </c>
      <c r="B42" s="348" t="s">
        <v>34</v>
      </c>
      <c r="C42" s="334">
        <v>3</v>
      </c>
      <c r="D42" s="334">
        <v>36849090.148468599</v>
      </c>
      <c r="E42" s="334">
        <v>4</v>
      </c>
      <c r="F42" s="334">
        <v>23143446.5062485</v>
      </c>
    </row>
    <row r="43" spans="1:6">
      <c r="A43" s="348" t="s">
        <v>32</v>
      </c>
      <c r="B43" s="348" t="s">
        <v>35</v>
      </c>
      <c r="C43" s="334">
        <v>0</v>
      </c>
      <c r="D43" s="334">
        <v>0</v>
      </c>
      <c r="E43" s="334">
        <v>0</v>
      </c>
      <c r="F43" s="334">
        <v>0</v>
      </c>
    </row>
    <row r="44" spans="1:6">
      <c r="A44" s="348" t="s">
        <v>32</v>
      </c>
      <c r="B44" s="348" t="s">
        <v>36</v>
      </c>
      <c r="C44" s="334">
        <v>11</v>
      </c>
      <c r="D44" s="334">
        <v>979194.497971643</v>
      </c>
      <c r="E44" s="334">
        <v>56</v>
      </c>
      <c r="F44" s="334">
        <v>9666386.9301662892</v>
      </c>
    </row>
    <row r="45" spans="1:6">
      <c r="A45" s="348" t="s">
        <v>32</v>
      </c>
      <c r="B45" s="348" t="s">
        <v>37</v>
      </c>
      <c r="C45" s="334">
        <v>0</v>
      </c>
      <c r="D45" s="334">
        <v>0</v>
      </c>
      <c r="E45" s="334">
        <v>7</v>
      </c>
      <c r="F45" s="334">
        <v>71899.159263442896</v>
      </c>
    </row>
    <row r="46" spans="1:6">
      <c r="A46" s="348" t="s">
        <v>32</v>
      </c>
      <c r="B46" s="348" t="s">
        <v>38</v>
      </c>
      <c r="C46" s="334">
        <v>0</v>
      </c>
      <c r="D46" s="334">
        <v>0</v>
      </c>
      <c r="E46" s="334">
        <v>0</v>
      </c>
      <c r="F46" s="334">
        <v>0</v>
      </c>
    </row>
    <row r="47" spans="1:6">
      <c r="A47" s="348" t="s">
        <v>32</v>
      </c>
      <c r="B47" s="348" t="s">
        <v>39</v>
      </c>
      <c r="C47" s="334">
        <v>22</v>
      </c>
      <c r="D47" s="334">
        <v>5937077.0512226699</v>
      </c>
      <c r="E47" s="334">
        <v>35</v>
      </c>
      <c r="F47" s="334">
        <v>5060280.1542497296</v>
      </c>
    </row>
    <row r="48" spans="1:6">
      <c r="A48" s="348" t="s">
        <v>32</v>
      </c>
      <c r="B48" s="348" t="s">
        <v>29</v>
      </c>
      <c r="C48" s="334">
        <v>102</v>
      </c>
      <c r="D48" s="334">
        <v>246068562.10057801</v>
      </c>
      <c r="E48" s="334">
        <v>121</v>
      </c>
      <c r="F48" s="334">
        <v>130736142.748421</v>
      </c>
    </row>
    <row r="49" spans="1:6">
      <c r="A49" s="348" t="s">
        <v>32</v>
      </c>
      <c r="B49" s="348" t="s">
        <v>40</v>
      </c>
      <c r="C49" s="334">
        <v>0</v>
      </c>
      <c r="D49" s="334">
        <v>0</v>
      </c>
      <c r="E49" s="334">
        <v>0</v>
      </c>
      <c r="F49" s="334">
        <v>0</v>
      </c>
    </row>
    <row r="50" spans="1:6">
      <c r="A50" s="348" t="s">
        <v>32</v>
      </c>
      <c r="B50" s="348" t="s">
        <v>41</v>
      </c>
      <c r="C50" s="334">
        <v>40</v>
      </c>
      <c r="D50" s="334">
        <v>6232301.09766893</v>
      </c>
      <c r="E50" s="334">
        <v>73</v>
      </c>
      <c r="F50" s="334">
        <v>6756841.7176023303</v>
      </c>
    </row>
    <row r="51" spans="1:6">
      <c r="A51" s="348" t="s">
        <v>42</v>
      </c>
      <c r="B51" s="348" t="s">
        <v>43</v>
      </c>
      <c r="C51" s="334">
        <v>15</v>
      </c>
      <c r="D51" s="334">
        <v>747002.794552912</v>
      </c>
      <c r="E51" s="334">
        <v>87</v>
      </c>
      <c r="F51" s="334">
        <v>620765.09447740205</v>
      </c>
    </row>
    <row r="52" spans="1:6">
      <c r="A52" s="348" t="s">
        <v>42</v>
      </c>
      <c r="B52" s="348" t="s">
        <v>29</v>
      </c>
      <c r="C52" s="334">
        <v>12</v>
      </c>
      <c r="D52" s="334">
        <v>1118556.60674957</v>
      </c>
      <c r="E52" s="334">
        <v>21</v>
      </c>
      <c r="F52" s="334">
        <v>294574.35702147899</v>
      </c>
    </row>
    <row r="53" spans="1:6">
      <c r="A53" s="348" t="s">
        <v>44</v>
      </c>
      <c r="B53" s="348" t="s">
        <v>45</v>
      </c>
      <c r="C53" s="334">
        <v>840</v>
      </c>
      <c r="D53" s="334">
        <v>22715236.078598201</v>
      </c>
      <c r="E53" s="334">
        <v>1555</v>
      </c>
      <c r="F53" s="334">
        <v>6480751.4498043098</v>
      </c>
    </row>
    <row r="54" spans="1:6">
      <c r="A54" s="348" t="s">
        <v>46</v>
      </c>
      <c r="B54" s="348" t="s">
        <v>47</v>
      </c>
      <c r="C54" s="334">
        <v>0</v>
      </c>
      <c r="D54" s="334">
        <v>0</v>
      </c>
      <c r="E54" s="334">
        <v>1</v>
      </c>
      <c r="F54" s="334">
        <v>4259087</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347</v>
      </c>
      <c r="D57" s="334">
        <v>32692067.079060901</v>
      </c>
      <c r="E57" s="334">
        <v>446</v>
      </c>
      <c r="F57" s="334">
        <v>15508379.1033701</v>
      </c>
    </row>
    <row r="58" spans="1:6">
      <c r="A58" s="348" t="s">
        <v>49</v>
      </c>
      <c r="B58" s="348" t="s">
        <v>51</v>
      </c>
      <c r="C58" s="334">
        <v>189</v>
      </c>
      <c r="D58" s="334">
        <v>18858956.783829499</v>
      </c>
      <c r="E58" s="334">
        <v>241</v>
      </c>
      <c r="F58" s="334">
        <v>8201503.38973008</v>
      </c>
    </row>
    <row r="59" spans="1:6">
      <c r="A59" s="348" t="s">
        <v>49</v>
      </c>
      <c r="B59" s="348" t="s">
        <v>52</v>
      </c>
      <c r="C59" s="334">
        <v>702</v>
      </c>
      <c r="D59" s="334">
        <v>37568989.992494702</v>
      </c>
      <c r="E59" s="334">
        <v>1098</v>
      </c>
      <c r="F59" s="334">
        <v>40780735.591331601</v>
      </c>
    </row>
    <row r="60" spans="1:6">
      <c r="A60" s="348" t="s">
        <v>49</v>
      </c>
      <c r="B60" s="348" t="s">
        <v>53</v>
      </c>
      <c r="C60" s="334">
        <v>322</v>
      </c>
      <c r="D60" s="334">
        <v>19921821.247579899</v>
      </c>
      <c r="E60" s="334">
        <v>395</v>
      </c>
      <c r="F60" s="334">
        <v>12345291.182604199</v>
      </c>
    </row>
    <row r="61" spans="1:6">
      <c r="A61" s="348" t="s">
        <v>49</v>
      </c>
      <c r="B61" s="348" t="s">
        <v>54</v>
      </c>
      <c r="C61" s="334">
        <v>1376</v>
      </c>
      <c r="D61" s="334">
        <v>95452932.006166801</v>
      </c>
      <c r="E61" s="334">
        <v>2941</v>
      </c>
      <c r="F61" s="334">
        <v>101474989.39453299</v>
      </c>
    </row>
    <row r="62" spans="1:6">
      <c r="A62" s="348" t="s">
        <v>49</v>
      </c>
      <c r="B62" s="348" t="s">
        <v>55</v>
      </c>
      <c r="C62" s="334">
        <v>93</v>
      </c>
      <c r="D62" s="334">
        <v>17982977.363415901</v>
      </c>
      <c r="E62" s="334">
        <v>97</v>
      </c>
      <c r="F62" s="334">
        <v>5439090.5565187996</v>
      </c>
    </row>
    <row r="63" spans="1:6">
      <c r="A63" s="348" t="s">
        <v>49</v>
      </c>
      <c r="B63" s="348" t="s">
        <v>29</v>
      </c>
      <c r="C63" s="334">
        <v>242</v>
      </c>
      <c r="D63" s="334">
        <v>19619178.883823</v>
      </c>
      <c r="E63" s="334">
        <v>284</v>
      </c>
      <c r="F63" s="334">
        <v>8118067.9176667696</v>
      </c>
    </row>
    <row r="64" spans="1:6">
      <c r="A64" s="348" t="s">
        <v>56</v>
      </c>
      <c r="B64" s="348" t="s">
        <v>57</v>
      </c>
      <c r="C64" s="334">
        <v>0</v>
      </c>
      <c r="D64" s="334">
        <v>0</v>
      </c>
      <c r="E64" s="334">
        <v>0</v>
      </c>
      <c r="F64" s="334">
        <v>0</v>
      </c>
    </row>
    <row r="65" spans="1:6">
      <c r="A65" s="348" t="s">
        <v>56</v>
      </c>
      <c r="B65" s="348" t="s">
        <v>29</v>
      </c>
      <c r="C65" s="334">
        <v>6</v>
      </c>
      <c r="D65" s="334">
        <v>23102143.6729583</v>
      </c>
      <c r="E65" s="334">
        <v>6</v>
      </c>
      <c r="F65" s="334">
        <v>77995.5703847283</v>
      </c>
    </row>
    <row r="66" spans="1:6">
      <c r="A66" s="348" t="s">
        <v>56</v>
      </c>
      <c r="B66" s="348" t="s">
        <v>58</v>
      </c>
      <c r="C66" s="334">
        <v>3</v>
      </c>
      <c r="D66" s="334">
        <v>321656.61423077597</v>
      </c>
      <c r="E66" s="334">
        <v>57</v>
      </c>
      <c r="F66" s="334">
        <v>2864495.33580143</v>
      </c>
    </row>
    <row r="67" spans="1:6">
      <c r="A67" s="355" t="s">
        <v>56</v>
      </c>
      <c r="B67" s="355" t="s">
        <v>59</v>
      </c>
      <c r="C67" s="334">
        <v>0</v>
      </c>
      <c r="D67" s="334">
        <v>0</v>
      </c>
      <c r="E67" s="334">
        <v>0</v>
      </c>
      <c r="F67" s="334">
        <v>0</v>
      </c>
    </row>
    <row r="68" spans="1:6">
      <c r="A68" s="341" t="s">
        <v>56</v>
      </c>
      <c r="B68" s="341" t="s">
        <v>60</v>
      </c>
      <c r="C68" s="334">
        <v>21</v>
      </c>
      <c r="D68" s="334">
        <v>795879.33215418598</v>
      </c>
      <c r="E68" s="334">
        <v>40</v>
      </c>
      <c r="F68" s="334">
        <v>3178010.41113307</v>
      </c>
    </row>
    <row r="69" spans="1:6" ht="15.75" thickBot="1">
      <c r="A69" s="343"/>
    </row>
    <row r="70" spans="1:6" ht="19.5">
      <c r="A70" s="336" t="s">
        <v>61</v>
      </c>
      <c r="B70" s="337"/>
      <c r="C70" s="337" t="s">
        <v>404</v>
      </c>
      <c r="D70" s="337" t="s">
        <v>804</v>
      </c>
      <c r="E70" s="337"/>
      <c r="F70" s="344"/>
    </row>
    <row r="71" spans="1:6" ht="20.25" thickBot="1">
      <c r="A71" s="357"/>
      <c r="B71" s="358"/>
      <c r="C71" s="358"/>
      <c r="D71" s="359" t="s">
        <v>442</v>
      </c>
      <c r="E71" s="358"/>
      <c r="F71" s="360"/>
    </row>
    <row r="72" spans="1:6" ht="16.5" thickTop="1" thickBot="1">
      <c r="A72" s="345" t="s">
        <v>62</v>
      </c>
      <c r="B72" s="346" t="s">
        <v>63</v>
      </c>
      <c r="C72" s="1212" t="s">
        <v>674</v>
      </c>
      <c r="D72" s="361">
        <v>2016</v>
      </c>
      <c r="E72" s="361">
        <v>2020</v>
      </c>
      <c r="F72" s="347"/>
    </row>
    <row r="73" spans="1:6">
      <c r="A73" s="348" t="s">
        <v>64</v>
      </c>
      <c r="B73" s="348" t="s">
        <v>656</v>
      </c>
      <c r="C73" s="1213" t="s">
        <v>658</v>
      </c>
      <c r="D73" s="476">
        <v>308845832</v>
      </c>
      <c r="E73" s="476">
        <v>315411944.11278754</v>
      </c>
    </row>
    <row r="74" spans="1:6">
      <c r="A74" s="348" t="s">
        <v>64</v>
      </c>
      <c r="B74" s="348" t="s">
        <v>657</v>
      </c>
      <c r="C74" s="1213" t="s">
        <v>659</v>
      </c>
      <c r="D74" s="476">
        <v>19201351.771017984</v>
      </c>
      <c r="E74" s="476">
        <v>18874600.839993291</v>
      </c>
    </row>
    <row r="75" spans="1:6">
      <c r="A75" s="348" t="s">
        <v>65</v>
      </c>
      <c r="B75" s="348" t="s">
        <v>656</v>
      </c>
      <c r="C75" s="1213" t="s">
        <v>660</v>
      </c>
      <c r="D75" s="476">
        <v>77569309</v>
      </c>
      <c r="E75" s="476">
        <v>78850456.318948179</v>
      </c>
    </row>
    <row r="76" spans="1:6">
      <c r="A76" s="348" t="s">
        <v>65</v>
      </c>
      <c r="B76" s="348" t="s">
        <v>657</v>
      </c>
      <c r="C76" s="1213" t="s">
        <v>661</v>
      </c>
      <c r="D76" s="476">
        <v>2304922.7710179845</v>
      </c>
      <c r="E76" s="476">
        <v>2287702.6279130764</v>
      </c>
    </row>
    <row r="77" spans="1:6">
      <c r="A77" s="348" t="s">
        <v>66</v>
      </c>
      <c r="B77" s="348" t="s">
        <v>656</v>
      </c>
      <c r="C77" s="1213" t="s">
        <v>662</v>
      </c>
      <c r="D77" s="476">
        <v>368123058</v>
      </c>
      <c r="E77" s="476">
        <v>378373977.23973745</v>
      </c>
    </row>
    <row r="78" spans="1:6">
      <c r="A78" s="341" t="s">
        <v>66</v>
      </c>
      <c r="B78" s="341" t="s">
        <v>657</v>
      </c>
      <c r="C78" s="341" t="s">
        <v>663</v>
      </c>
      <c r="D78" s="1214">
        <v>44854561</v>
      </c>
      <c r="E78" s="1214">
        <v>43450324.54790286</v>
      </c>
      <c r="F78" s="342"/>
    </row>
    <row r="79" spans="1:6">
      <c r="A79" s="362"/>
      <c r="B79" s="362"/>
    </row>
    <row r="80" spans="1:6" ht="15.75" thickBot="1">
      <c r="A80" s="362"/>
      <c r="B80" s="362"/>
    </row>
    <row r="81" spans="1:6" ht="20.25" thickBot="1">
      <c r="A81" s="336" t="s">
        <v>334</v>
      </c>
      <c r="B81" s="363" t="s">
        <v>394</v>
      </c>
      <c r="C81" s="337" t="s">
        <v>805</v>
      </c>
      <c r="D81" s="337"/>
      <c r="E81" s="337"/>
      <c r="F81" s="344"/>
    </row>
    <row r="82" spans="1:6" ht="16.5" thickTop="1" thickBot="1">
      <c r="A82" s="345" t="s">
        <v>335</v>
      </c>
      <c r="B82" s="361">
        <v>2016</v>
      </c>
      <c r="C82" s="361">
        <v>2020</v>
      </c>
      <c r="D82" s="346"/>
      <c r="E82" s="346"/>
      <c r="F82" s="347"/>
    </row>
    <row r="83" spans="1:6">
      <c r="A83" s="348" t="s">
        <v>336</v>
      </c>
      <c r="B83" s="476">
        <v>2986090.457964031</v>
      </c>
      <c r="C83" s="476">
        <v>2999232.9511887203</v>
      </c>
    </row>
    <row r="84" spans="1:6">
      <c r="A84" s="341" t="s">
        <v>337</v>
      </c>
      <c r="B84" s="1214">
        <v>0</v>
      </c>
      <c r="C84" s="1214">
        <v>0</v>
      </c>
      <c r="D84" s="342"/>
      <c r="E84" s="342"/>
      <c r="F84" s="342"/>
    </row>
    <row r="85" spans="1:6">
      <c r="A85" s="362"/>
      <c r="B85" s="364"/>
    </row>
    <row r="86" spans="1:6" ht="15.75" thickBot="1">
      <c r="A86" s="343"/>
    </row>
    <row r="87" spans="1:6" ht="20.25" thickBot="1">
      <c r="A87" s="336" t="s">
        <v>67</v>
      </c>
      <c r="B87" s="337" t="s">
        <v>394</v>
      </c>
      <c r="C87" s="337" t="s">
        <v>806</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15">
        <v>0</v>
      </c>
    </row>
    <row r="91" spans="1:6">
      <c r="A91" s="348" t="s">
        <v>68</v>
      </c>
      <c r="B91" s="334">
        <v>7483.3118162291676</v>
      </c>
    </row>
    <row r="92" spans="1:6">
      <c r="A92" s="341" t="s">
        <v>69</v>
      </c>
      <c r="B92" s="342">
        <v>6716.1094980753342</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22345</v>
      </c>
    </row>
    <row r="98" spans="1:6">
      <c r="A98" s="348" t="s">
        <v>72</v>
      </c>
      <c r="B98" s="334">
        <v>44</v>
      </c>
    </row>
    <row r="99" spans="1:6">
      <c r="A99" s="348" t="s">
        <v>73</v>
      </c>
      <c r="B99" s="334">
        <v>106</v>
      </c>
    </row>
    <row r="100" spans="1:6">
      <c r="A100" s="348" t="s">
        <v>74</v>
      </c>
      <c r="B100" s="334">
        <v>1577</v>
      </c>
    </row>
    <row r="101" spans="1:6">
      <c r="A101" s="348" t="s">
        <v>75</v>
      </c>
      <c r="B101" s="334">
        <v>147</v>
      </c>
    </row>
    <row r="102" spans="1:6">
      <c r="A102" s="348" t="s">
        <v>76</v>
      </c>
      <c r="B102" s="334">
        <v>648</v>
      </c>
    </row>
    <row r="103" spans="1:6">
      <c r="A103" s="348" t="s">
        <v>77</v>
      </c>
      <c r="B103" s="334">
        <v>662</v>
      </c>
    </row>
    <row r="104" spans="1:6">
      <c r="A104" s="348" t="s">
        <v>78</v>
      </c>
      <c r="B104" s="334">
        <v>5761</v>
      </c>
    </row>
    <row r="105" spans="1:6">
      <c r="A105" s="341" t="s">
        <v>79</v>
      </c>
      <c r="B105" s="341">
        <v>35</v>
      </c>
      <c r="C105" s="342"/>
      <c r="D105" s="342"/>
      <c r="E105" s="342"/>
      <c r="F105" s="342"/>
    </row>
    <row r="106" spans="1:6">
      <c r="A106" s="343"/>
    </row>
    <row r="107" spans="1:6" ht="15.75" thickBot="1">
      <c r="A107" s="343"/>
    </row>
    <row r="108" spans="1:6" ht="20.25" thickBot="1">
      <c r="A108" s="336" t="s">
        <v>645</v>
      </c>
      <c r="B108" s="337" t="s">
        <v>394</v>
      </c>
      <c r="C108" s="337" t="s">
        <v>807</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16" t="s">
        <v>647</v>
      </c>
      <c r="B111" s="1217">
        <v>0</v>
      </c>
      <c r="C111" s="1217"/>
      <c r="D111" s="1217"/>
      <c r="E111" s="1217"/>
      <c r="F111" s="1217"/>
    </row>
    <row r="112" spans="1:6">
      <c r="A112" s="348"/>
    </row>
    <row r="113" spans="1:6" ht="15.75" thickBot="1">
      <c r="A113" s="341"/>
      <c r="B113" s="342"/>
      <c r="C113" s="342"/>
      <c r="D113" s="342"/>
      <c r="E113" s="342"/>
      <c r="F113" s="342"/>
    </row>
    <row r="114" spans="1:6" ht="20.25" thickBot="1">
      <c r="A114" s="336" t="s">
        <v>80</v>
      </c>
      <c r="B114" s="337" t="s">
        <v>394</v>
      </c>
      <c r="C114" s="337" t="s">
        <v>808</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3</v>
      </c>
      <c r="C121" s="334">
        <v>0</v>
      </c>
    </row>
    <row r="122" spans="1:6">
      <c r="A122" s="348" t="s">
        <v>87</v>
      </c>
      <c r="B122" s="334">
        <v>1</v>
      </c>
      <c r="C122" s="334">
        <v>0</v>
      </c>
    </row>
    <row r="123" spans="1:6">
      <c r="A123" s="348" t="s">
        <v>88</v>
      </c>
      <c r="B123" s="334">
        <v>74</v>
      </c>
      <c r="C123" s="334">
        <v>104</v>
      </c>
    </row>
    <row r="124" spans="1:6">
      <c r="A124" s="341" t="s">
        <v>89</v>
      </c>
      <c r="B124" s="334">
        <v>3</v>
      </c>
      <c r="C124" s="334">
        <v>0</v>
      </c>
      <c r="D124" s="342"/>
      <c r="E124" s="342"/>
      <c r="F124" s="342"/>
    </row>
    <row r="125" spans="1:6">
      <c r="A125" s="362"/>
    </row>
    <row r="126" spans="1:6" ht="15.75" thickBot="1">
      <c r="A126" s="362"/>
    </row>
    <row r="127" spans="1:6" ht="20.25" thickBot="1">
      <c r="A127" s="336" t="s">
        <v>293</v>
      </c>
      <c r="B127" s="337" t="s">
        <v>394</v>
      </c>
      <c r="C127" s="337" t="s">
        <v>807</v>
      </c>
      <c r="D127" s="337"/>
      <c r="E127" s="337"/>
      <c r="F127" s="344"/>
    </row>
    <row r="128" spans="1:6" ht="16.5" thickTop="1" thickBot="1">
      <c r="A128" s="345" t="s">
        <v>4</v>
      </c>
      <c r="B128" s="346" t="s">
        <v>5</v>
      </c>
      <c r="C128" s="346"/>
      <c r="D128" s="346"/>
      <c r="E128" s="346"/>
      <c r="F128" s="347"/>
    </row>
    <row r="129" spans="1:6">
      <c r="A129" s="348" t="s">
        <v>294</v>
      </c>
      <c r="B129" s="334">
        <v>304</v>
      </c>
    </row>
    <row r="130" spans="1:6">
      <c r="A130" s="348" t="s">
        <v>295</v>
      </c>
      <c r="B130" s="334">
        <v>3</v>
      </c>
    </row>
    <row r="131" spans="1:6">
      <c r="A131" s="348" t="s">
        <v>296</v>
      </c>
      <c r="B131" s="334">
        <v>8</v>
      </c>
    </row>
    <row r="132" spans="1:6">
      <c r="A132" s="341" t="s">
        <v>297</v>
      </c>
      <c r="B132" s="342">
        <v>46</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497130.63239103922</v>
      </c>
      <c r="C3" s="43" t="s">
        <v>170</v>
      </c>
      <c r="D3" s="43"/>
      <c r="E3" s="154"/>
      <c r="F3" s="43"/>
      <c r="G3" s="43"/>
      <c r="H3" s="43"/>
      <c r="I3" s="43"/>
      <c r="J3" s="43"/>
      <c r="K3" s="96"/>
    </row>
    <row r="4" spans="1:11">
      <c r="A4" s="383" t="s">
        <v>171</v>
      </c>
      <c r="B4" s="49">
        <f>IF(ISERROR('SEAP template'!B69),0,'SEAP template'!B69)</f>
        <v>14199.421314304502</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0.21468763076343098</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0</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17">
        <v>2016</v>
      </c>
      <c r="B1" s="111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19"/>
      <c r="B2" s="112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19"/>
      <c r="B3" s="112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21"/>
      <c r="B4" s="112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23" t="s">
        <v>471</v>
      </c>
      <c r="B2" s="1124"/>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25" t="s">
        <v>194</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4259.0870000000004</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4259.0870000000004</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0.21468763076343098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914.37329724532901</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8" activePane="bottomRight" state="frozen"/>
      <selection activeCell="B35" sqref="B35"/>
      <selection pane="topRight" activeCell="B35" sqref="B35"/>
      <selection pane="bottomLeft" activeCell="B35" sqref="B35"/>
      <selection pane="bottomRight" activeCell="A32" sqref="A3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25" t="s">
        <v>155</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105595.56543637101</v>
      </c>
      <c r="C5" s="17">
        <f>IF(ISERROR('Eigen informatie GS &amp; warmtenet'!B57),0,'Eigen informatie GS &amp; warmtenet'!B57)</f>
        <v>0</v>
      </c>
      <c r="D5" s="30">
        <f>(SUM(HH_hh_gas_kWh,HH_rest_gas_kWh)/1000)*0.902</f>
        <v>386729.80920737277</v>
      </c>
      <c r="E5" s="17">
        <f>B46*B57</f>
        <v>7432.2225765029343</v>
      </c>
      <c r="F5" s="17">
        <f>B51*B62</f>
        <v>0</v>
      </c>
      <c r="G5" s="18"/>
      <c r="H5" s="17"/>
      <c r="I5" s="17"/>
      <c r="J5" s="17">
        <f>B50*B61+C50*C61</f>
        <v>0</v>
      </c>
      <c r="K5" s="17"/>
      <c r="L5" s="17"/>
      <c r="M5" s="17"/>
      <c r="N5" s="17">
        <f>B48*B59+C48*C59</f>
        <v>35125.526673233093</v>
      </c>
      <c r="O5" s="17">
        <f>B69*B70*B71</f>
        <v>637.84</v>
      </c>
      <c r="P5" s="17">
        <f>B77*B78*B79/1000-B77*B78*B79/1000/B80</f>
        <v>2345.1999999999998</v>
      </c>
    </row>
    <row r="6" spans="1:16">
      <c r="A6" s="16" t="s">
        <v>621</v>
      </c>
      <c r="B6" s="843">
        <f>kWh_PV_kleiner_dan_10kW</f>
        <v>7483.3118162291676</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113078.87725260017</v>
      </c>
      <c r="C8" s="21">
        <f>C5</f>
        <v>0</v>
      </c>
      <c r="D8" s="21">
        <f>D5</f>
        <v>386729.80920737277</v>
      </c>
      <c r="E8" s="21">
        <f>E5</f>
        <v>7432.2225765029343</v>
      </c>
      <c r="F8" s="21">
        <f>F5</f>
        <v>0</v>
      </c>
      <c r="G8" s="21"/>
      <c r="H8" s="21"/>
      <c r="I8" s="21"/>
      <c r="J8" s="21">
        <f>J5</f>
        <v>0</v>
      </c>
      <c r="K8" s="21"/>
      <c r="L8" s="21">
        <f>L5</f>
        <v>0</v>
      </c>
      <c r="M8" s="21">
        <f>M5</f>
        <v>0</v>
      </c>
      <c r="N8" s="21">
        <f>N5</f>
        <v>35125.526673233093</v>
      </c>
      <c r="O8" s="21">
        <f>O5</f>
        <v>637.84</v>
      </c>
      <c r="P8" s="21">
        <f>P5</f>
        <v>2345.1999999999998</v>
      </c>
    </row>
    <row r="9" spans="1:16">
      <c r="B9" s="19"/>
      <c r="C9" s="19"/>
      <c r="D9" s="258"/>
      <c r="E9" s="19"/>
      <c r="F9" s="19"/>
      <c r="G9" s="19"/>
      <c r="H9" s="19"/>
      <c r="I9" s="19"/>
      <c r="J9" s="19"/>
      <c r="K9" s="19"/>
      <c r="L9" s="19"/>
      <c r="M9" s="19"/>
      <c r="N9" s="19"/>
      <c r="O9" s="19"/>
      <c r="P9" s="19"/>
    </row>
    <row r="10" spans="1:16">
      <c r="A10" s="24" t="s">
        <v>214</v>
      </c>
      <c r="B10" s="25">
        <f ca="1">'EF ele_warmte'!B12</f>
        <v>0.21468763076343098</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24276.63624674956</v>
      </c>
      <c r="C12" s="23">
        <f ca="1">C10*C8</f>
        <v>0</v>
      </c>
      <c r="D12" s="23">
        <f>D8*D10</f>
        <v>78119.421459889301</v>
      </c>
      <c r="E12" s="23">
        <f>E10*E8</f>
        <v>1687.1145248661662</v>
      </c>
      <c r="F12" s="23">
        <f>F10*F8</f>
        <v>0</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22345</v>
      </c>
      <c r="C18" s="166" t="s">
        <v>111</v>
      </c>
      <c r="D18" s="228"/>
      <c r="E18" s="15"/>
    </row>
    <row r="19" spans="1:7">
      <c r="A19" s="171" t="s">
        <v>72</v>
      </c>
      <c r="B19" s="37">
        <f>aantalw2001_ander</f>
        <v>44</v>
      </c>
      <c r="C19" s="166" t="s">
        <v>111</v>
      </c>
      <c r="D19" s="229"/>
      <c r="E19" s="15"/>
    </row>
    <row r="20" spans="1:7">
      <c r="A20" s="171" t="s">
        <v>73</v>
      </c>
      <c r="B20" s="37">
        <f>aantalw2001_propaan</f>
        <v>106</v>
      </c>
      <c r="C20" s="167">
        <f>IF(ISERROR(B20/SUM($B$20,$B$21,$B$22)*100),0,B20/SUM($B$20,$B$21,$B$22)*100)</f>
        <v>5.7923497267759565</v>
      </c>
      <c r="D20" s="229"/>
      <c r="E20" s="15"/>
    </row>
    <row r="21" spans="1:7">
      <c r="A21" s="171" t="s">
        <v>74</v>
      </c>
      <c r="B21" s="37">
        <f>aantalw2001_elektriciteit</f>
        <v>1577</v>
      </c>
      <c r="C21" s="167">
        <f>IF(ISERROR(B21/SUM($B$20,$B$21,$B$22)*100),0,B21/SUM($B$20,$B$21,$B$22)*100)</f>
        <v>86.174863387978135</v>
      </c>
      <c r="D21" s="229"/>
      <c r="E21" s="15"/>
    </row>
    <row r="22" spans="1:7">
      <c r="A22" s="171" t="s">
        <v>75</v>
      </c>
      <c r="B22" s="37">
        <f>aantalw2001_hout</f>
        <v>147</v>
      </c>
      <c r="C22" s="167">
        <f>IF(ISERROR(B22/SUM($B$20,$B$21,$B$22)*100),0,B22/SUM($B$20,$B$21,$B$22)*100)</f>
        <v>8.0327868852459012</v>
      </c>
      <c r="D22" s="229"/>
      <c r="E22" s="15"/>
    </row>
    <row r="23" spans="1:7">
      <c r="A23" s="171" t="s">
        <v>76</v>
      </c>
      <c r="B23" s="37">
        <f>aantalw2001_niet_gespec</f>
        <v>648</v>
      </c>
      <c r="C23" s="166" t="s">
        <v>111</v>
      </c>
      <c r="D23" s="228"/>
      <c r="E23" s="15"/>
    </row>
    <row r="24" spans="1:7">
      <c r="A24" s="171" t="s">
        <v>77</v>
      </c>
      <c r="B24" s="37">
        <f>aantalw2001_steenkool</f>
        <v>662</v>
      </c>
      <c r="C24" s="166" t="s">
        <v>111</v>
      </c>
      <c r="D24" s="229"/>
      <c r="E24" s="15"/>
    </row>
    <row r="25" spans="1:7">
      <c r="A25" s="171" t="s">
        <v>78</v>
      </c>
      <c r="B25" s="37">
        <f>aantalw2001_stookolie</f>
        <v>5761</v>
      </c>
      <c r="C25" s="166" t="s">
        <v>111</v>
      </c>
      <c r="D25" s="228"/>
      <c r="E25" s="52"/>
    </row>
    <row r="26" spans="1:7">
      <c r="A26" s="171" t="s">
        <v>79</v>
      </c>
      <c r="B26" s="37">
        <f>aantalw2001_WP</f>
        <v>35</v>
      </c>
      <c r="C26" s="166" t="s">
        <v>111</v>
      </c>
      <c r="D26" s="228"/>
      <c r="E26" s="15"/>
    </row>
    <row r="27" spans="1:7" s="15" customFormat="1">
      <c r="A27" s="171"/>
      <c r="B27" s="29"/>
      <c r="C27" s="36"/>
      <c r="D27" s="228"/>
    </row>
    <row r="28" spans="1:7" s="15" customFormat="1">
      <c r="A28" s="230" t="s">
        <v>794</v>
      </c>
      <c r="B28" s="37">
        <f>aantalHuishoudens2011</f>
        <v>35693</v>
      </c>
      <c r="C28" s="36"/>
      <c r="D28" s="228"/>
    </row>
    <row r="29" spans="1:7" s="15" customFormat="1">
      <c r="A29" s="230" t="s">
        <v>795</v>
      </c>
      <c r="B29" s="37">
        <f>SUM(HH_hh_gas_aantal,HH_rest_gas_aantal)</f>
        <v>29510</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29510</v>
      </c>
      <c r="C32" s="167">
        <f>IF(ISERROR(B32/SUM($B$32,$B$34,$B$35,$B$36,$B$38,$B$39)*100),0,B32/SUM($B$32,$B$34,$B$35,$B$36,$B$38,$B$39)*100)</f>
        <v>82.963171211695254</v>
      </c>
      <c r="D32" s="233"/>
      <c r="G32" s="15"/>
    </row>
    <row r="33" spans="1:7">
      <c r="A33" s="171" t="s">
        <v>72</v>
      </c>
      <c r="B33" s="34" t="s">
        <v>111</v>
      </c>
      <c r="C33" s="167"/>
      <c r="D33" s="233"/>
      <c r="G33" s="15"/>
    </row>
    <row r="34" spans="1:7">
      <c r="A34" s="171" t="s">
        <v>73</v>
      </c>
      <c r="B34" s="33">
        <f>IF((($B$28-$B$32-$B$39-$B$77-$B$38)*C20/100)&lt;0,0,($B$28-$B$32-$B$39-$B$77-$B$38)*C20/100)</f>
        <v>351.01639344262293</v>
      </c>
      <c r="C34" s="167">
        <f>IF(ISERROR(B34/SUM($B$32,$B$34,$B$35,$B$36,$B$38,$B$39)*100),0,B34/SUM($B$32,$B$34,$B$35,$B$36,$B$38,$B$39)*100)</f>
        <v>0.98683270577065774</v>
      </c>
      <c r="D34" s="233"/>
      <c r="G34" s="15"/>
    </row>
    <row r="35" spans="1:7">
      <c r="A35" s="171" t="s">
        <v>74</v>
      </c>
      <c r="B35" s="33">
        <f>IF((($B$28-$B$32-$B$39-$B$77-$B$38)*C21/100)&lt;0,0,($B$28-$B$32-$B$39-$B$77-$B$38)*C21/100)</f>
        <v>5222.1967213114749</v>
      </c>
      <c r="C35" s="167">
        <f>IF(ISERROR(B35/SUM($B$32,$B$34,$B$35,$B$36,$B$38,$B$39)*100),0,B35/SUM($B$32,$B$34,$B$35,$B$36,$B$38,$B$39)*100)</f>
        <v>14.68146393396535</v>
      </c>
      <c r="D35" s="233"/>
      <c r="G35" s="15"/>
    </row>
    <row r="36" spans="1:7">
      <c r="A36" s="171" t="s">
        <v>75</v>
      </c>
      <c r="B36" s="33">
        <f>IF((($B$28-$B$32-$B$39-$B$77-$B$38)*C22/100)&lt;0,0,($B$28-$B$32-$B$39-$B$77-$B$38)*C22/100)</f>
        <v>486.78688524590166</v>
      </c>
      <c r="C36" s="167">
        <f>IF(ISERROR(B36/SUM($B$32,$B$34,$B$35,$B$36,$B$38,$B$39)*100),0,B36/SUM($B$32,$B$34,$B$35,$B$36,$B$38,$B$39)*100)</f>
        <v>1.3685321485687423</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29510</v>
      </c>
      <c r="C44" s="34" t="s">
        <v>111</v>
      </c>
      <c r="D44" s="174"/>
    </row>
    <row r="45" spans="1:7">
      <c r="A45" s="171" t="s">
        <v>72</v>
      </c>
      <c r="B45" s="33" t="str">
        <f t="shared" si="0"/>
        <v>-</v>
      </c>
      <c r="C45" s="34" t="s">
        <v>111</v>
      </c>
      <c r="D45" s="174"/>
    </row>
    <row r="46" spans="1:7">
      <c r="A46" s="171" t="s">
        <v>73</v>
      </c>
      <c r="B46" s="33">
        <f t="shared" si="0"/>
        <v>351.01639344262293</v>
      </c>
      <c r="C46" s="34" t="s">
        <v>111</v>
      </c>
      <c r="D46" s="174"/>
    </row>
    <row r="47" spans="1:7">
      <c r="A47" s="171" t="s">
        <v>74</v>
      </c>
      <c r="B47" s="33">
        <f t="shared" si="0"/>
        <v>5222.1967213114749</v>
      </c>
      <c r="C47" s="34" t="s">
        <v>111</v>
      </c>
      <c r="D47" s="174"/>
    </row>
    <row r="48" spans="1:7">
      <c r="A48" s="171" t="s">
        <v>75</v>
      </c>
      <c r="B48" s="33">
        <f t="shared" si="0"/>
        <v>486.78688524590166</v>
      </c>
      <c r="C48" s="33">
        <f>B48*10</f>
        <v>4867.8688524590161</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408</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123</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6" zoomScale="80" zoomScaleNormal="80" workbookViewId="0">
      <selection activeCell="D26" sqref="D26:D32"/>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156</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191868.05713575456</v>
      </c>
      <c r="C5" s="17">
        <f>IF(ISERROR('Eigen informatie GS &amp; warmtenet'!B58),0,'Eigen informatie GS &amp; warmtenet'!B58)</f>
        <v>0</v>
      </c>
      <c r="D5" s="30">
        <f>SUM(D6:D12)</f>
        <v>218371.42486744636</v>
      </c>
      <c r="E5" s="17">
        <f>SUM(E6:E12)</f>
        <v>1858.4068449651943</v>
      </c>
      <c r="F5" s="17">
        <f>SUM(F6:F12)</f>
        <v>32299.828773846719</v>
      </c>
      <c r="G5" s="18"/>
      <c r="H5" s="17"/>
      <c r="I5" s="17"/>
      <c r="J5" s="17">
        <f>SUM(J6:J12)</f>
        <v>0.35628422550104122</v>
      </c>
      <c r="K5" s="17"/>
      <c r="L5" s="17"/>
      <c r="M5" s="17"/>
      <c r="N5" s="17">
        <f>SUM(N6:N12)</f>
        <v>14254.667023675844</v>
      </c>
      <c r="O5" s="17">
        <f>B38*B39*B40</f>
        <v>4.6900000000000004</v>
      </c>
      <c r="P5" s="17">
        <f>B46*B47*B48/1000-B46*B47*B48/1000/B49</f>
        <v>228.8</v>
      </c>
      <c r="R5" s="32"/>
    </row>
    <row r="6" spans="1:18">
      <c r="A6" s="32" t="s">
        <v>54</v>
      </c>
      <c r="B6" s="37">
        <f>B26</f>
        <v>101474.989394533</v>
      </c>
      <c r="C6" s="33"/>
      <c r="D6" s="37">
        <f>IF(ISERROR(TER_kantoor_gas_kWh/1000),0,TER_kantoor_gas_kWh/1000)*0.902</f>
        <v>86098.544669562456</v>
      </c>
      <c r="E6" s="33">
        <f>$C$26*'E Balans VL '!I12/100/3.6*1000000</f>
        <v>0.63601148347220238</v>
      </c>
      <c r="F6" s="33">
        <f>$C$26*('E Balans VL '!L12+'E Balans VL '!N12)/100/3.6*1000000</f>
        <v>15248.855424364074</v>
      </c>
      <c r="G6" s="34"/>
      <c r="H6" s="33"/>
      <c r="I6" s="33"/>
      <c r="J6" s="33">
        <f>$C$26*('E Balans VL '!D12+'E Balans VL '!E12)/100/3.6*1000000</f>
        <v>0</v>
      </c>
      <c r="K6" s="33"/>
      <c r="L6" s="33"/>
      <c r="M6" s="33"/>
      <c r="N6" s="33">
        <f>$C$26*'E Balans VL '!Y12/100/3.6*1000000</f>
        <v>97.04578203755716</v>
      </c>
      <c r="O6" s="33"/>
      <c r="P6" s="33"/>
      <c r="R6" s="32"/>
    </row>
    <row r="7" spans="1:18">
      <c r="A7" s="32" t="s">
        <v>53</v>
      </c>
      <c r="B7" s="37">
        <f t="shared" ref="B7:B12" si="0">B27</f>
        <v>12345.2911826042</v>
      </c>
      <c r="C7" s="33"/>
      <c r="D7" s="37">
        <f>IF(ISERROR(TER_horeca_gas_kWh/1000),0,TER_horeca_gas_kWh/1000)*0.902</f>
        <v>17969.482765317069</v>
      </c>
      <c r="E7" s="33">
        <f>$C$27*'E Balans VL '!I9/100/3.6*1000000</f>
        <v>176.78251340193123</v>
      </c>
      <c r="F7" s="33">
        <f>$C$27*('E Balans VL '!L9+'E Balans VL '!N9)/100/3.6*1000000</f>
        <v>1563.3210271072155</v>
      </c>
      <c r="G7" s="34"/>
      <c r="H7" s="33"/>
      <c r="I7" s="33"/>
      <c r="J7" s="33">
        <f>$C$27*('E Balans VL '!D9+'E Balans VL '!E9)/100/3.6*1000000</f>
        <v>0</v>
      </c>
      <c r="K7" s="33"/>
      <c r="L7" s="33"/>
      <c r="M7" s="33"/>
      <c r="N7" s="33">
        <f>$C$27*'E Balans VL '!Y9/100/3.6*1000000</f>
        <v>3.548999024692856</v>
      </c>
      <c r="O7" s="33"/>
      <c r="P7" s="33"/>
      <c r="R7" s="32"/>
    </row>
    <row r="8" spans="1:18">
      <c r="A8" s="6" t="s">
        <v>52</v>
      </c>
      <c r="B8" s="37">
        <f t="shared" si="0"/>
        <v>40780.735591331599</v>
      </c>
      <c r="C8" s="33"/>
      <c r="D8" s="37">
        <f>IF(ISERROR(TER_handel_gas_kWh/1000),0,TER_handel_gas_kWh/1000)*0.902</f>
        <v>33887.228973230223</v>
      </c>
      <c r="E8" s="33">
        <f>$C$28*'E Balans VL '!I13/100/3.6*1000000</f>
        <v>1479.1122510425841</v>
      </c>
      <c r="F8" s="33">
        <f>$C$28*('E Balans VL '!L13+'E Balans VL '!N13)/100/3.6*1000000</f>
        <v>7854.7826060916741</v>
      </c>
      <c r="G8" s="34"/>
      <c r="H8" s="33"/>
      <c r="I8" s="33"/>
      <c r="J8" s="33">
        <f>$C$28*('E Balans VL '!D13+'E Balans VL '!E13)/100/3.6*1000000</f>
        <v>0</v>
      </c>
      <c r="K8" s="33"/>
      <c r="L8" s="33"/>
      <c r="M8" s="33"/>
      <c r="N8" s="33">
        <f>$C$28*'E Balans VL '!Y13/100/3.6*1000000</f>
        <v>56.490702022774357</v>
      </c>
      <c r="O8" s="33"/>
      <c r="P8" s="33"/>
      <c r="R8" s="32"/>
    </row>
    <row r="9" spans="1:18">
      <c r="A9" s="32" t="s">
        <v>51</v>
      </c>
      <c r="B9" s="37">
        <f t="shared" si="0"/>
        <v>8201.50338973008</v>
      </c>
      <c r="C9" s="33"/>
      <c r="D9" s="37">
        <f>IF(ISERROR(TER_gezond_gas_kWh/1000),0,TER_gezond_gas_kWh/1000)*0.902</f>
        <v>17010.779019014211</v>
      </c>
      <c r="E9" s="33">
        <f>$C$29*'E Balans VL '!I10/100/3.6*1000000</f>
        <v>0.5134950874140578</v>
      </c>
      <c r="F9" s="33">
        <f>$C$29*('E Balans VL '!L10+'E Balans VL '!N10)/100/3.6*1000000</f>
        <v>1218.358299744094</v>
      </c>
      <c r="G9" s="34"/>
      <c r="H9" s="33"/>
      <c r="I9" s="33"/>
      <c r="J9" s="33">
        <f>$C$29*('E Balans VL '!D10+'E Balans VL '!E10)/100/3.6*1000000</f>
        <v>0</v>
      </c>
      <c r="K9" s="33"/>
      <c r="L9" s="33"/>
      <c r="M9" s="33"/>
      <c r="N9" s="33">
        <f>$C$29*'E Balans VL '!Y10/100/3.6*1000000</f>
        <v>126.86164580977491</v>
      </c>
      <c r="O9" s="33"/>
      <c r="P9" s="33"/>
      <c r="R9" s="32"/>
    </row>
    <row r="10" spans="1:18">
      <c r="A10" s="32" t="s">
        <v>50</v>
      </c>
      <c r="B10" s="37">
        <f t="shared" si="0"/>
        <v>15508.3791033701</v>
      </c>
      <c r="C10" s="33"/>
      <c r="D10" s="37">
        <f>IF(ISERROR(TER_ander_gas_kWh/1000),0,TER_ander_gas_kWh/1000)*0.902</f>
        <v>29488.244505312934</v>
      </c>
      <c r="E10" s="33">
        <f>$C$30*'E Balans VL '!I14/100/3.6*1000000</f>
        <v>18.485433715387263</v>
      </c>
      <c r="F10" s="33">
        <f>$C$30*('E Balans VL '!L14+'E Balans VL '!N14)/100/3.6*1000000</f>
        <v>4057.6814218251111</v>
      </c>
      <c r="G10" s="34"/>
      <c r="H10" s="33"/>
      <c r="I10" s="33"/>
      <c r="J10" s="33">
        <f>$C$30*('E Balans VL '!D14+'E Balans VL '!E14)/100/3.6*1000000</f>
        <v>0.33662611916664292</v>
      </c>
      <c r="K10" s="33"/>
      <c r="L10" s="33"/>
      <c r="M10" s="33"/>
      <c r="N10" s="33">
        <f>$C$30*'E Balans VL '!Y14/100/3.6*1000000</f>
        <v>13169.336049886857</v>
      </c>
      <c r="O10" s="33"/>
      <c r="P10" s="33"/>
      <c r="R10" s="32"/>
    </row>
    <row r="11" spans="1:18">
      <c r="A11" s="32" t="s">
        <v>55</v>
      </c>
      <c r="B11" s="37">
        <f t="shared" si="0"/>
        <v>5439.0905565187995</v>
      </c>
      <c r="C11" s="33"/>
      <c r="D11" s="37">
        <f>IF(ISERROR(TER_onderwijs_gas_kWh/1000),0,TER_onderwijs_gas_kWh/1000)*0.902</f>
        <v>16220.645581801142</v>
      </c>
      <c r="E11" s="33">
        <f>$C$31*'E Balans VL '!I11/100/3.6*1000000</f>
        <v>82.067116009495251</v>
      </c>
      <c r="F11" s="33">
        <f>$C$31*('E Balans VL '!L11+'E Balans VL '!N11)/100/3.6*1000000</f>
        <v>953.01555755874369</v>
      </c>
      <c r="G11" s="34"/>
      <c r="H11" s="33"/>
      <c r="I11" s="33"/>
      <c r="J11" s="33">
        <f>$C$31*('E Balans VL '!D11+'E Balans VL '!E11)/100/3.6*1000000</f>
        <v>0</v>
      </c>
      <c r="K11" s="33"/>
      <c r="L11" s="33"/>
      <c r="M11" s="33"/>
      <c r="N11" s="33">
        <f>$C$31*'E Balans VL '!Y11/100/3.6*1000000</f>
        <v>15.30601432145469</v>
      </c>
      <c r="O11" s="33"/>
      <c r="P11" s="33"/>
      <c r="R11" s="32"/>
    </row>
    <row r="12" spans="1:18">
      <c r="A12" s="32" t="s">
        <v>260</v>
      </c>
      <c r="B12" s="37">
        <f t="shared" si="0"/>
        <v>8118.06791766677</v>
      </c>
      <c r="C12" s="33"/>
      <c r="D12" s="37">
        <f>IF(ISERROR(TER_rest_gas_kWh/1000),0,TER_rest_gas_kWh/1000)*0.902</f>
        <v>17696.499353208346</v>
      </c>
      <c r="E12" s="33">
        <f>$C$32*'E Balans VL '!I8/100/3.6*1000000</f>
        <v>100.81002422491015</v>
      </c>
      <c r="F12" s="33">
        <f>$C$32*('E Balans VL '!L8+'E Balans VL '!N8)/100/3.6*1000000</f>
        <v>1403.8144371558042</v>
      </c>
      <c r="G12" s="34"/>
      <c r="H12" s="33"/>
      <c r="I12" s="33"/>
      <c r="J12" s="33">
        <f>$C$32*('E Balans VL '!D8+'E Balans VL '!E8)/100/3.6*1000000</f>
        <v>1.9658106334398292E-2</v>
      </c>
      <c r="K12" s="33"/>
      <c r="L12" s="33"/>
      <c r="M12" s="33"/>
      <c r="N12" s="33">
        <f>$C$32*'E Balans VL '!Y8/100/3.6*1000000</f>
        <v>786.07783057273241</v>
      </c>
      <c r="O12" s="33"/>
      <c r="P12" s="33"/>
      <c r="R12" s="32"/>
    </row>
    <row r="13" spans="1:18">
      <c r="A13" s="16" t="s">
        <v>488</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191868.05713575456</v>
      </c>
      <c r="C16" s="21">
        <f t="shared" ca="1" si="1"/>
        <v>0</v>
      </c>
      <c r="D16" s="21">
        <f t="shared" ca="1" si="1"/>
        <v>218371.42486744636</v>
      </c>
      <c r="E16" s="21">
        <f t="shared" si="1"/>
        <v>1858.4068449651943</v>
      </c>
      <c r="F16" s="21">
        <f t="shared" ca="1" si="1"/>
        <v>32299.828773846719</v>
      </c>
      <c r="G16" s="21">
        <f t="shared" si="1"/>
        <v>0</v>
      </c>
      <c r="H16" s="21">
        <f t="shared" si="1"/>
        <v>0</v>
      </c>
      <c r="I16" s="21">
        <f t="shared" si="1"/>
        <v>0</v>
      </c>
      <c r="J16" s="21">
        <f t="shared" si="1"/>
        <v>0.35628422550104122</v>
      </c>
      <c r="K16" s="21">
        <f t="shared" si="1"/>
        <v>0</v>
      </c>
      <c r="L16" s="21">
        <f t="shared" ca="1" si="1"/>
        <v>0</v>
      </c>
      <c r="M16" s="21">
        <f t="shared" si="1"/>
        <v>0</v>
      </c>
      <c r="N16" s="21">
        <f t="shared" ca="1" si="1"/>
        <v>14254.667023675844</v>
      </c>
      <c r="O16" s="21">
        <f>O5</f>
        <v>4.6900000000000004</v>
      </c>
      <c r="P16" s="21">
        <f>P5</f>
        <v>228.8</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0.21468763076343098</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41191.698605657752</v>
      </c>
      <c r="C20" s="23">
        <f t="shared" ref="C20:P20" ca="1" si="2">C16*C18</f>
        <v>0</v>
      </c>
      <c r="D20" s="23">
        <f t="shared" ca="1" si="2"/>
        <v>44111.027823224169</v>
      </c>
      <c r="E20" s="23">
        <f t="shared" si="2"/>
        <v>421.85835380709909</v>
      </c>
      <c r="F20" s="23">
        <f t="shared" ca="1" si="2"/>
        <v>8624.0542826170749</v>
      </c>
      <c r="G20" s="23">
        <f t="shared" si="2"/>
        <v>0</v>
      </c>
      <c r="H20" s="23">
        <f t="shared" si="2"/>
        <v>0</v>
      </c>
      <c r="I20" s="23">
        <f t="shared" si="2"/>
        <v>0</v>
      </c>
      <c r="J20" s="23">
        <f t="shared" si="2"/>
        <v>0.12612461582736859</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101474.989394533</v>
      </c>
      <c r="C26" s="39">
        <f>IF(ISERROR(B26*3.6/1000000/'E Balans VL '!Z12*100),0,B26*3.6/1000000/'E Balans VL '!Z12*100)</f>
        <v>2.1450205264326851</v>
      </c>
      <c r="D26" s="237" t="s">
        <v>754</v>
      </c>
      <c r="F26" s="6"/>
    </row>
    <row r="27" spans="1:18">
      <c r="A27" s="231" t="s">
        <v>53</v>
      </c>
      <c r="B27" s="33">
        <f>IF(ISERROR(TER_horeca_ele_kWh/1000),0,TER_horeca_ele_kWh/1000)</f>
        <v>12345.2911826042</v>
      </c>
      <c r="C27" s="39">
        <f>IF(ISERROR(B27*3.6/1000000/'E Balans VL '!Z9*100),0,B27*3.6/1000000/'E Balans VL '!Z9*100)</f>
        <v>0.97317470259975924</v>
      </c>
      <c r="D27" s="237" t="s">
        <v>754</v>
      </c>
      <c r="F27" s="6"/>
    </row>
    <row r="28" spans="1:18">
      <c r="A28" s="171" t="s">
        <v>52</v>
      </c>
      <c r="B28" s="33">
        <f>IF(ISERROR(TER_handel_ele_kWh/1000),0,TER_handel_ele_kWh/1000)</f>
        <v>40780.735591331599</v>
      </c>
      <c r="C28" s="39">
        <f>IF(ISERROR(B28*3.6/1000000/'E Balans VL '!Z13*100),0,B28*3.6/1000000/'E Balans VL '!Z13*100)</f>
        <v>1.1836217194960115</v>
      </c>
      <c r="D28" s="237" t="s">
        <v>754</v>
      </c>
      <c r="F28" s="6"/>
    </row>
    <row r="29" spans="1:18">
      <c r="A29" s="231" t="s">
        <v>51</v>
      </c>
      <c r="B29" s="33">
        <f>IF(ISERROR(TER_gezond_ele_kWh/1000),0,TER_gezond_ele_kWh/1000)</f>
        <v>8201.50338973008</v>
      </c>
      <c r="C29" s="39">
        <f>IF(ISERROR(B29*3.6/1000000/'E Balans VL '!Z10*100),0,B29*3.6/1000000/'E Balans VL '!Z10*100)</f>
        <v>0.86375297917906346</v>
      </c>
      <c r="D29" s="237" t="s">
        <v>754</v>
      </c>
      <c r="F29" s="6"/>
    </row>
    <row r="30" spans="1:18">
      <c r="A30" s="231" t="s">
        <v>50</v>
      </c>
      <c r="B30" s="33">
        <f>IF(ISERROR(TER_ander_ele_kWh/1000),0,TER_ander_ele_kWh/1000)</f>
        <v>15508.3791033701</v>
      </c>
      <c r="C30" s="39">
        <f>IF(ISERROR(B30*3.6/1000000/'E Balans VL '!Z14*100),0,B30*3.6/1000000/'E Balans VL '!Z14*100)</f>
        <v>1.1439014110677641</v>
      </c>
      <c r="D30" s="237" t="s">
        <v>754</v>
      </c>
      <c r="F30" s="6"/>
    </row>
    <row r="31" spans="1:18">
      <c r="A31" s="231" t="s">
        <v>55</v>
      </c>
      <c r="B31" s="33">
        <f>IF(ISERROR(TER_onderwijs_ele_kWh/1000),0,TER_onderwijs_ele_kWh/1000)</f>
        <v>5439.0905565187995</v>
      </c>
      <c r="C31" s="39">
        <f>IF(ISERROR(B31*3.6/1000000/'E Balans VL '!Z11*100),0,B31*3.6/1000000/'E Balans VL '!Z11*100)</f>
        <v>1.3507809671899225</v>
      </c>
      <c r="D31" s="237" t="s">
        <v>754</v>
      </c>
    </row>
    <row r="32" spans="1:18">
      <c r="A32" s="231" t="s">
        <v>260</v>
      </c>
      <c r="B32" s="33">
        <f>IF(ISERROR(TER_rest_ele_kWh/1000),0,TER_rest_ele_kWh/1000)</f>
        <v>8118.06791766677</v>
      </c>
      <c r="C32" s="39">
        <f>IF(ISERROR(B32*3.6/1000000/'E Balans VL '!Z8*100),0,B32*3.6/1000000/'E Balans VL '!Z8*100)</f>
        <v>6.6800923322609021E-2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3</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12</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4" sqref="B54"/>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163</v>
      </c>
      <c r="B1" s="1126" t="s">
        <v>195</v>
      </c>
      <c r="C1" s="1127"/>
      <c r="D1" s="1127"/>
      <c r="E1" s="1127"/>
      <c r="F1" s="1127"/>
      <c r="G1" s="1127"/>
      <c r="H1" s="1127"/>
      <c r="I1" s="1127"/>
      <c r="J1" s="1127"/>
      <c r="K1" s="1127"/>
      <c r="L1" s="1127"/>
      <c r="M1" s="1127"/>
      <c r="N1" s="1127"/>
      <c r="O1" s="1127"/>
      <c r="P1" s="1127"/>
      <c r="R1" s="825"/>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c r="R2" s="825"/>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186712.43372355879</v>
      </c>
      <c r="C5" s="17">
        <f>IF(ISERROR('Eigen informatie GS &amp; warmtenet'!B59),0,'Eigen informatie GS &amp; warmtenet'!B59)</f>
        <v>0</v>
      </c>
      <c r="D5" s="30">
        <f>SUM(D6:D15)</f>
        <v>278453.17446215713</v>
      </c>
      <c r="E5" s="17">
        <f>SUM(E6:E15)</f>
        <v>10684.736686469614</v>
      </c>
      <c r="F5" s="17">
        <f>SUM(F6:F15)</f>
        <v>36689.262051645055</v>
      </c>
      <c r="G5" s="18"/>
      <c r="H5" s="17"/>
      <c r="I5" s="17"/>
      <c r="J5" s="17">
        <f>SUM(J6:J15)</f>
        <v>468.93367682933939</v>
      </c>
      <c r="K5" s="17"/>
      <c r="L5" s="17"/>
      <c r="M5" s="17"/>
      <c r="N5" s="17">
        <f>SUM(N6:N15)</f>
        <v>48898.231349753783</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9666.3869301662889</v>
      </c>
      <c r="C8" s="33"/>
      <c r="D8" s="37">
        <f>IF( ISERROR(IND_metaal_Gas_kWH/1000),0,IND_metaal_Gas_kWH/1000)*0.902</f>
        <v>883.23343717042201</v>
      </c>
      <c r="E8" s="33">
        <f>C30*'E Balans VL '!I18/100/3.6*1000000</f>
        <v>88.873091937597351</v>
      </c>
      <c r="F8" s="33">
        <f>C30*'E Balans VL '!L18/100/3.6*1000000+C30*'E Balans VL '!N18/100/3.6*1000000</f>
        <v>906.38526745192917</v>
      </c>
      <c r="G8" s="34"/>
      <c r="H8" s="33"/>
      <c r="I8" s="33"/>
      <c r="J8" s="40">
        <f>C30*'E Balans VL '!D18/100/3.6*1000000+C30*'E Balans VL '!E18/100/3.6*1000000</f>
        <v>0</v>
      </c>
      <c r="K8" s="33"/>
      <c r="L8" s="33"/>
      <c r="M8" s="33"/>
      <c r="N8" s="33">
        <f>C30*'E Balans VL '!Y18/100/3.6*1000000</f>
        <v>137.90698393592197</v>
      </c>
      <c r="O8" s="33"/>
      <c r="P8" s="33"/>
      <c r="R8" s="32"/>
    </row>
    <row r="9" spans="1:18">
      <c r="A9" s="6" t="s">
        <v>33</v>
      </c>
      <c r="B9" s="37">
        <f t="shared" si="0"/>
        <v>11277.436507607499</v>
      </c>
      <c r="C9" s="33"/>
      <c r="D9" s="37">
        <f>IF( ISERROR(IND_andere_gas_kWh/1000),0,IND_andere_gas_kWh/1000)*0.902</f>
        <v>11401.439606046433</v>
      </c>
      <c r="E9" s="33">
        <f>C31*'E Balans VL '!I19/100/3.6*1000000</f>
        <v>3296.6142369671993</v>
      </c>
      <c r="F9" s="33">
        <f>C31*'E Balans VL '!L19/100/3.6*1000000+C31*'E Balans VL '!N19/100/3.6*1000000</f>
        <v>9062.27385737027</v>
      </c>
      <c r="G9" s="34"/>
      <c r="H9" s="33"/>
      <c r="I9" s="33"/>
      <c r="J9" s="40">
        <f>C31*'E Balans VL '!D19/100/3.6*1000000+C31*'E Balans VL '!E19/100/3.6*1000000</f>
        <v>0</v>
      </c>
      <c r="K9" s="33"/>
      <c r="L9" s="33"/>
      <c r="M9" s="33"/>
      <c r="N9" s="33">
        <f>C31*'E Balans VL '!Y19/100/3.6*1000000</f>
        <v>3726.2399227532856</v>
      </c>
      <c r="O9" s="33"/>
      <c r="P9" s="33"/>
      <c r="R9" s="32"/>
    </row>
    <row r="10" spans="1:18">
      <c r="A10" s="6" t="s">
        <v>41</v>
      </c>
      <c r="B10" s="37">
        <f t="shared" si="0"/>
        <v>6756.8417176023304</v>
      </c>
      <c r="C10" s="33"/>
      <c r="D10" s="37">
        <f>IF( ISERROR(IND_voed_gas_kWh/1000),0,IND_voed_gas_kWh/1000)*0.902</f>
        <v>5621.5355900973755</v>
      </c>
      <c r="E10" s="33">
        <f>C32*'E Balans VL '!I20/100/3.6*1000000</f>
        <v>14.294203419659397</v>
      </c>
      <c r="F10" s="33">
        <f>C32*'E Balans VL '!L20/100/3.6*1000000+C32*'E Balans VL '!N20/100/3.6*1000000</f>
        <v>429.60689831657527</v>
      </c>
      <c r="G10" s="34"/>
      <c r="H10" s="33"/>
      <c r="I10" s="33"/>
      <c r="J10" s="40">
        <f>C32*'E Balans VL '!D20/100/3.6*1000000+C32*'E Balans VL '!E20/100/3.6*1000000</f>
        <v>0</v>
      </c>
      <c r="K10" s="33"/>
      <c r="L10" s="33"/>
      <c r="M10" s="33"/>
      <c r="N10" s="33">
        <f>C32*'E Balans VL '!Y20/100/3.6*1000000</f>
        <v>466.28875665788263</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71.899159263442897</v>
      </c>
      <c r="C12" s="33"/>
      <c r="D12" s="37">
        <f>IF( ISERROR(IND_min_gas_kWh/1000),0,IND_min_gas_kWh/1000)*0.902</f>
        <v>0</v>
      </c>
      <c r="E12" s="33">
        <f>C34*'E Balans VL '!I22/100/3.6*1000000</f>
        <v>2.0840605704580595</v>
      </c>
      <c r="F12" s="33">
        <f>C34*'E Balans VL '!L22/100/3.6*1000000+C34*'E Balans VL '!N22/100/3.6*1000000</f>
        <v>24.719743433379136</v>
      </c>
      <c r="G12" s="34"/>
      <c r="H12" s="33"/>
      <c r="I12" s="33"/>
      <c r="J12" s="40">
        <f>C34*'E Balans VL '!D22/100/3.6*1000000+C34*'E Balans VL '!E22/100/3.6*1000000</f>
        <v>0.1181519851582966</v>
      </c>
      <c r="K12" s="33"/>
      <c r="L12" s="33"/>
      <c r="M12" s="33"/>
      <c r="N12" s="33">
        <f>C34*'E Balans VL '!Y22/100/3.6*1000000</f>
        <v>15.739907502594946</v>
      </c>
      <c r="O12" s="33"/>
      <c r="P12" s="33"/>
      <c r="R12" s="32"/>
    </row>
    <row r="13" spans="1:18">
      <c r="A13" s="6" t="s">
        <v>39</v>
      </c>
      <c r="B13" s="37">
        <f t="shared" si="0"/>
        <v>5060.28015424973</v>
      </c>
      <c r="C13" s="33"/>
      <c r="D13" s="37">
        <f>IF( ISERROR(IND_papier_gas_kWh/1000),0,IND_papier_gas_kWh/1000)*0.902</f>
        <v>5355.2435002028487</v>
      </c>
      <c r="E13" s="33">
        <f>C35*'E Balans VL '!I23/100/3.6*1000000</f>
        <v>7.1793802617930096</v>
      </c>
      <c r="F13" s="33">
        <f>C35*'E Balans VL '!L23/100/3.6*1000000+C35*'E Balans VL '!N23/100/3.6*1000000</f>
        <v>123.54046644542723</v>
      </c>
      <c r="G13" s="34"/>
      <c r="H13" s="33"/>
      <c r="I13" s="33"/>
      <c r="J13" s="40">
        <f>C35*'E Balans VL '!D23/100/3.6*1000000+C35*'E Balans VL '!E23/100/3.6*1000000</f>
        <v>0.7826198346598745</v>
      </c>
      <c r="K13" s="33"/>
      <c r="L13" s="33"/>
      <c r="M13" s="33"/>
      <c r="N13" s="33">
        <f>C35*'E Balans VL '!Y23/100/3.6*1000000</f>
        <v>14709.03655781522</v>
      </c>
      <c r="O13" s="33"/>
      <c r="P13" s="33"/>
      <c r="R13" s="32"/>
    </row>
    <row r="14" spans="1:18">
      <c r="A14" s="6" t="s">
        <v>34</v>
      </c>
      <c r="B14" s="37">
        <f t="shared" si="0"/>
        <v>23143.4465062485</v>
      </c>
      <c r="C14" s="33"/>
      <c r="D14" s="37">
        <f>IF( ISERROR(IND_chemie_gas_kWh/1000),0,IND_chemie_gas_kWh/1000)*0.902</f>
        <v>33237.879313918675</v>
      </c>
      <c r="E14" s="33">
        <f>C36*'E Balans VL '!I24/100/3.6*1000000</f>
        <v>56.972534265725166</v>
      </c>
      <c r="F14" s="33">
        <f>C36*'E Balans VL '!L24/100/3.6*1000000+C36*'E Balans VL '!N24/100/3.6*1000000</f>
        <v>247.81893974075209</v>
      </c>
      <c r="G14" s="34"/>
      <c r="H14" s="33"/>
      <c r="I14" s="33"/>
      <c r="J14" s="40">
        <f>C36*'E Balans VL '!D24/100/3.6*1000000+C36*'E Balans VL '!E24/100/3.6*1000000</f>
        <v>0</v>
      </c>
      <c r="K14" s="33"/>
      <c r="L14" s="33"/>
      <c r="M14" s="33"/>
      <c r="N14" s="33">
        <f>C36*'E Balans VL '!Y24/100/3.6*1000000</f>
        <v>516.8502906195564</v>
      </c>
      <c r="O14" s="33"/>
      <c r="P14" s="33"/>
      <c r="R14" s="32"/>
    </row>
    <row r="15" spans="1:18">
      <c r="A15" s="6" t="s">
        <v>270</v>
      </c>
      <c r="B15" s="37">
        <f t="shared" si="0"/>
        <v>130736.142748421</v>
      </c>
      <c r="C15" s="33"/>
      <c r="D15" s="37">
        <f>IF( ISERROR(IND_rest_gas_kWh/1000),0,IND_rest_gas_kWh/1000)*0.902</f>
        <v>221953.84301472138</v>
      </c>
      <c r="E15" s="33">
        <f>C37*'E Balans VL '!I15/100/3.6*1000000</f>
        <v>7218.7191790471816</v>
      </c>
      <c r="F15" s="33">
        <f>C37*'E Balans VL '!L15/100/3.6*1000000+C37*'E Balans VL '!N15/100/3.6*1000000</f>
        <v>25894.916878886725</v>
      </c>
      <c r="G15" s="34"/>
      <c r="H15" s="33"/>
      <c r="I15" s="33"/>
      <c r="J15" s="40">
        <f>C37*'E Balans VL '!D15/100/3.6*1000000+C37*'E Balans VL '!E15/100/3.6*1000000</f>
        <v>468.03290500952124</v>
      </c>
      <c r="K15" s="33"/>
      <c r="L15" s="33"/>
      <c r="M15" s="33"/>
      <c r="N15" s="33">
        <f>C37*'E Balans VL '!Y15/100/3.6*1000000</f>
        <v>29326.168930469325</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186712.43372355879</v>
      </c>
      <c r="C18" s="21">
        <f>C5+C16</f>
        <v>0</v>
      </c>
      <c r="D18" s="21">
        <f>MAX((D5+D16),0)</f>
        <v>278453.17446215713</v>
      </c>
      <c r="E18" s="21">
        <f>MAX((E5+E16),0)</f>
        <v>10684.736686469614</v>
      </c>
      <c r="F18" s="21">
        <f>MAX((F5+F16),0)</f>
        <v>36689.262051645055</v>
      </c>
      <c r="G18" s="21"/>
      <c r="H18" s="21"/>
      <c r="I18" s="21"/>
      <c r="J18" s="21">
        <f>MAX((J5+J16),0)</f>
        <v>468.93367682933939</v>
      </c>
      <c r="K18" s="21"/>
      <c r="L18" s="21">
        <f>MAX((L5+L16),0)</f>
        <v>0</v>
      </c>
      <c r="M18" s="21"/>
      <c r="N18" s="21">
        <f>MAX((N5+N16),0)</f>
        <v>48898.231349753783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0.21468763076343098</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40084.850030184964</v>
      </c>
      <c r="C22" s="23">
        <f ca="1">C18*C20</f>
        <v>0</v>
      </c>
      <c r="D22" s="23">
        <f>D18*D20</f>
        <v>56247.541241355742</v>
      </c>
      <c r="E22" s="23">
        <f>E18*E20</f>
        <v>2425.4352278286024</v>
      </c>
      <c r="F22" s="23">
        <f>F18*F20</f>
        <v>9796.0329677892296</v>
      </c>
      <c r="G22" s="23"/>
      <c r="H22" s="23"/>
      <c r="I22" s="23"/>
      <c r="J22" s="23">
        <f>J18*J20</f>
        <v>166.00252159758614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9666.3869301662889</v>
      </c>
      <c r="C30" s="39">
        <f>IF(ISERROR(B30*3.6/1000000/'E Balans VL '!Z18*100),0,B30*3.6/1000000/'E Balans VL '!Z18*100)</f>
        <v>0.54781893356975253</v>
      </c>
      <c r="D30" s="237" t="s">
        <v>754</v>
      </c>
    </row>
    <row r="31" spans="1:18">
      <c r="A31" s="6" t="s">
        <v>33</v>
      </c>
      <c r="B31" s="37">
        <f>IF( ISERROR(IND_ander_ele_kWh/1000),0,IND_ander_ele_kWh/1000)</f>
        <v>11277.436507607499</v>
      </c>
      <c r="C31" s="39">
        <f>IF(ISERROR(B31*3.6/1000000/'E Balans VL '!Z19*100),0,B31*3.6/1000000/'E Balans VL '!Z19*100)</f>
        <v>0.51149756155675563</v>
      </c>
      <c r="D31" s="237" t="s">
        <v>754</v>
      </c>
    </row>
    <row r="32" spans="1:18">
      <c r="A32" s="171" t="s">
        <v>41</v>
      </c>
      <c r="B32" s="37">
        <f>IF( ISERROR(IND_voed_ele_kWh/1000),0,IND_voed_ele_kWh/1000)</f>
        <v>6756.8417176023304</v>
      </c>
      <c r="C32" s="39">
        <f>IF(ISERROR(B32*3.6/1000000/'E Balans VL '!Z20*100),0,B32*3.6/1000000/'E Balans VL '!Z20*100)</f>
        <v>0.2090197877969083</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71.899159263442897</v>
      </c>
      <c r="C34" s="39">
        <f>IF(ISERROR(B34*3.6/1000000/'E Balans VL '!Z22*100),0,B34*3.6/1000000/'E Balans VL '!Z22*100)</f>
        <v>1.2932415523559426E-2</v>
      </c>
      <c r="D34" s="237" t="s">
        <v>754</v>
      </c>
    </row>
    <row r="35" spans="1:5">
      <c r="A35" s="171" t="s">
        <v>39</v>
      </c>
      <c r="B35" s="37">
        <f>IF( ISERROR(IND_papier_ele_kWh/1000),0,IND_papier_ele_kWh/1000)</f>
        <v>5060.28015424973</v>
      </c>
      <c r="C35" s="39">
        <f>IF(ISERROR(B35*3.6/1000000/'E Balans VL '!Z22*100),0,B35*3.6/1000000/'E Balans VL '!Z22*100)</f>
        <v>0.91018652082699214</v>
      </c>
      <c r="D35" s="237" t="s">
        <v>754</v>
      </c>
    </row>
    <row r="36" spans="1:5">
      <c r="A36" s="171" t="s">
        <v>34</v>
      </c>
      <c r="B36" s="37">
        <f>IF( ISERROR(IND_chemie_ele_kWh/1000),0,IND_chemie_ele_kWh/1000)</f>
        <v>23143.4465062485</v>
      </c>
      <c r="C36" s="39">
        <f>IF(ISERROR(B36*3.6/1000000/'E Balans VL '!Z24*100),0,B36*3.6/1000000/'E Balans VL '!Z24*100)</f>
        <v>0.70573683328923542</v>
      </c>
      <c r="D36" s="237" t="s">
        <v>754</v>
      </c>
    </row>
    <row r="37" spans="1:5">
      <c r="A37" s="171" t="s">
        <v>270</v>
      </c>
      <c r="B37" s="37">
        <f>IF( ISERROR(IND_rest_ele_kWh/1000),0,IND_rest_ele_kWh/1000)</f>
        <v>130736.142748421</v>
      </c>
      <c r="C37" s="39">
        <f>IF(ISERROR(B37*3.6/1000000/'E Balans VL '!Z15*100),0,B37*3.6/1000000/'E Balans VL '!Z15*100)</f>
        <v>1.0362444905344892</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34" sqref="C3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271</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915.33945149888098</v>
      </c>
      <c r="C5" s="17">
        <f>'Eigen informatie GS &amp; warmtenet'!B60</f>
        <v>0</v>
      </c>
      <c r="D5" s="30">
        <f>IF(ISERROR(SUM(LB_lb_gas_kWh,LB_rest_gas_kWh,onbekend_gas_kWh)/1000),0,SUM(LB_lb_gas_kWh,LB_rest_gas_kWh,onbekend_gas_kWh)/1000)*0.902</f>
        <v>22171.877522870418</v>
      </c>
      <c r="E5" s="17">
        <f>B17*'E Balans VL '!I25/3.6*1000000/100</f>
        <v>26.904622248928884</v>
      </c>
      <c r="F5" s="17">
        <f>B17*('E Balans VL '!L25/3.6*1000000+'E Balans VL '!N25/3.6*1000000)/100</f>
        <v>3813.254692596543</v>
      </c>
      <c r="G5" s="18"/>
      <c r="H5" s="17"/>
      <c r="I5" s="17"/>
      <c r="J5" s="17">
        <f>('E Balans VL '!D25+'E Balans VL '!E25)/3.6*1000000*landbouw!B17/100</f>
        <v>132.61302938245387</v>
      </c>
      <c r="K5" s="17"/>
      <c r="L5" s="17">
        <f>L6*(-1)</f>
        <v>0</v>
      </c>
      <c r="M5" s="17"/>
      <c r="N5" s="17">
        <f>N6*(-1)</f>
        <v>0</v>
      </c>
      <c r="O5" s="17"/>
      <c r="P5" s="17"/>
      <c r="R5" s="32"/>
    </row>
    <row r="6" spans="1:18">
      <c r="A6" s="16" t="s">
        <v>488</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915.33945149888098</v>
      </c>
      <c r="C8" s="21">
        <f>C5+C6</f>
        <v>0</v>
      </c>
      <c r="D8" s="21">
        <f>MAX((D5+D6),0)</f>
        <v>22171.877522870418</v>
      </c>
      <c r="E8" s="21">
        <f>MAX((E5+E6),0)</f>
        <v>26.904622248928884</v>
      </c>
      <c r="F8" s="21">
        <f>MAX((F5+F6),0)</f>
        <v>3813.254692596543</v>
      </c>
      <c r="G8" s="21"/>
      <c r="H8" s="21"/>
      <c r="I8" s="21"/>
      <c r="J8" s="21">
        <f>MAX((J5+J6),0)</f>
        <v>132.61302938245387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0.21468763076343098</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196.51205818659321</v>
      </c>
      <c r="C12" s="23">
        <f ca="1">C8*C10</f>
        <v>0</v>
      </c>
      <c r="D12" s="23">
        <f>D8*D10</f>
        <v>4478.7192596198247</v>
      </c>
      <c r="E12" s="23">
        <f>E8*E10</f>
        <v>6.1073492505068572</v>
      </c>
      <c r="F12" s="23">
        <f>F8*F10</f>
        <v>1018.1390029232771</v>
      </c>
      <c r="G12" s="23"/>
      <c r="H12" s="23"/>
      <c r="I12" s="23"/>
      <c r="J12" s="23">
        <f>J8*J10</f>
        <v>46.945012401388666</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0.12988953995763963</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33" t="s">
        <v>303</v>
      </c>
      <c r="B22" s="1136" t="s">
        <v>304</v>
      </c>
      <c r="C22" s="1136" t="s">
        <v>493</v>
      </c>
    </row>
    <row r="23" spans="1:4">
      <c r="A23" s="1134"/>
      <c r="B23" s="1137"/>
      <c r="C23" s="1137"/>
    </row>
    <row r="24" spans="1:4" ht="15.75" thickBot="1">
      <c r="A24" s="1135"/>
      <c r="B24" s="1138"/>
      <c r="C24" s="1138"/>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128.08121080419264</v>
      </c>
      <c r="C26" s="247">
        <f>B26*'GWP N2O_CH4'!B5</f>
        <v>2689.7054268880452</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15.197017255306816</v>
      </c>
      <c r="C27" s="247">
        <f>B27*'GWP N2O_CH4'!B5</f>
        <v>319.13736236144314</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1.6900801167554877</v>
      </c>
      <c r="C28" s="247">
        <f>B28*'GWP N2O_CH4'!B4</f>
        <v>523.92483619420125</v>
      </c>
      <c r="D28" s="50"/>
    </row>
    <row r="29" spans="1:4">
      <c r="A29" s="41" t="s">
        <v>277</v>
      </c>
      <c r="B29" s="247">
        <f>B34*'ha_N2O bodem landbouw'!B4</f>
        <v>12.438370118464402</v>
      </c>
      <c r="C29" s="247">
        <f>B29*'GWP N2O_CH4'!B4</f>
        <v>3855.8947367239643</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2.8383931965032306E-3</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4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25" t="s">
        <v>497</v>
      </c>
      <c r="B1" s="1126" t="s">
        <v>546</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1.0686161794566025E-3</v>
      </c>
      <c r="C5" s="463" t="s">
        <v>211</v>
      </c>
      <c r="D5" s="448">
        <f>SUM(D6:D11)</f>
        <v>3.5335979498904483E-3</v>
      </c>
      <c r="E5" s="448">
        <f>SUM(E6:E11)</f>
        <v>5.3166074848344253E-3</v>
      </c>
      <c r="F5" s="461" t="s">
        <v>211</v>
      </c>
      <c r="G5" s="448">
        <f>SUM(G6:G11)</f>
        <v>1.8925820884659414</v>
      </c>
      <c r="H5" s="448">
        <f>SUM(H6:H11)</f>
        <v>0.4079057509457823</v>
      </c>
      <c r="I5" s="463" t="s">
        <v>211</v>
      </c>
      <c r="J5" s="463" t="s">
        <v>211</v>
      </c>
      <c r="K5" s="463" t="s">
        <v>211</v>
      </c>
      <c r="L5" s="463" t="s">
        <v>211</v>
      </c>
      <c r="M5" s="448">
        <f>SUM(M6:M11)</f>
        <v>0.12268174463069452</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4.3740350517752346E-4</v>
      </c>
      <c r="C6" s="449"/>
      <c r="D6" s="962">
        <f>vkm_2011_GW_PW*SUMIFS(TableVerdeelsleutelVkm[CNG],TableVerdeelsleutelVkm[Voertuigtype],"Lichte voertuigen")*SUMIFS(TableECFTransport[EnergieConsumptieFactor (PJ per km)],TableECFTransport[Index],CONCATENATE($A6,"_CNG_CNG"))</f>
        <v>1.311959468756061E-3</v>
      </c>
      <c r="E6" s="962">
        <f>vkm_2011_GW_PW*SUMIFS(TableVerdeelsleutelVkm[LPG],TableVerdeelsleutelVkm[Voertuigtype],"Lichte voertuigen")*SUMIFS(TableECFTransport[EnergieConsumptieFactor (PJ per km)],TableECFTransport[Index],CONCATENATE($A6,"_LPG_LPG"))</f>
        <v>1.7923250880110433E-3</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0.46341310630061172</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0.14919419389161312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3.1502754110072174E-2</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0.18018642756721165</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5.4907556357606918E-5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1.0529496517885461E-2</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1.0985768346324459E-4</v>
      </c>
      <c r="C8" s="449"/>
      <c r="D8" s="451">
        <f>vkm_2011_NGW_PW*SUMIFS(TableVerdeelsleutelVkm[CNG],TableVerdeelsleutelVkm[Voertuigtype],"Lichte voertuigen")*SUMIFS(TableECFTransport[EnergieConsumptieFactor (PJ per km)],TableECFTransport[Index],CONCATENATE($A8,"_CNG_CNG"))</f>
        <v>5.8587246740406606E-4</v>
      </c>
      <c r="E8" s="451">
        <f>vkm_2011_NGW_PW*SUMIFS(TableVerdeelsleutelVkm[LPG],TableVerdeelsleutelVkm[Voertuigtype],"Lichte voertuigen")*SUMIFS(TableECFTransport[EnergieConsumptieFactor (PJ per km)],TableECFTransport[Index],CONCATENATE($A8,"_LPG_LPG"))</f>
        <v>7.4124820969329519E-4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0.17860013824193796</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6.47445153133583E-2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1.2356166642014369E-2</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2.7734300885526562E-2</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7.9562370799997035E-6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1.6206857612113042E-3</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5.2135499081583457E-4</v>
      </c>
      <c r="C10" s="449"/>
      <c r="D10" s="451">
        <f>vkm_2011_SW_PW*SUMIFS(TableVerdeelsleutelVkm[CNG],TableVerdeelsleutelVkm[Voertuigtype],"Lichte voertuigen")*SUMIFS(TableECFTransport[EnergieConsumptieFactor (PJ per km)],TableECFTransport[Index],CONCATENATE($A10,"_CNG_CNG"))</f>
        <v>1.6357660137303212E-3</v>
      </c>
      <c r="E10" s="451">
        <f>vkm_2011_SW_PW*SUMIFS(TableVerdeelsleutelVkm[LPG],TableVerdeelsleutelVkm[Voertuigtype],"Lichte voertuigen")*SUMIFS(TableECFTransport[EnergieConsumptieFactor (PJ per km)],TableECFTransport[Index],CONCATENATE($A10,"_LPG_LPG"))</f>
        <v>2.7830341871300864E-3</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0.64149568564732795</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0.19377217032915589</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4.323033587155637E-2</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0.40115242982332572</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1.320076182173569E-4</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2.3442305727954842E-2</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296.83782762683404</v>
      </c>
      <c r="C14" s="21"/>
      <c r="D14" s="21">
        <f t="shared" ref="D14:M14" si="0">((D5)*10^9/3600)+D12</f>
        <v>981.55498608068012</v>
      </c>
      <c r="E14" s="21">
        <f t="shared" si="0"/>
        <v>1476.8354124540069</v>
      </c>
      <c r="F14" s="21"/>
      <c r="G14" s="21">
        <f t="shared" si="0"/>
        <v>525717.24679609481</v>
      </c>
      <c r="H14" s="21">
        <f t="shared" si="0"/>
        <v>113307.15304049509</v>
      </c>
      <c r="I14" s="21"/>
      <c r="J14" s="21"/>
      <c r="K14" s="21"/>
      <c r="L14" s="21"/>
      <c r="M14" s="21">
        <f t="shared" si="0"/>
        <v>34078.262397415143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0.21468763076343098</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63.727409934168719</v>
      </c>
      <c r="C18" s="23"/>
      <c r="D18" s="23">
        <f t="shared" ref="D18:M18" si="1">D14*D16</f>
        <v>198.27410718829739</v>
      </c>
      <c r="E18" s="23">
        <f t="shared" si="1"/>
        <v>335.24163862705956</v>
      </c>
      <c r="F18" s="23"/>
      <c r="G18" s="23">
        <f t="shared" si="1"/>
        <v>140366.50489455732</v>
      </c>
      <c r="H18" s="23">
        <f t="shared" si="1"/>
        <v>28213.481107083277</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2013</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2013</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39" t="s">
        <v>498</v>
      </c>
      <c r="B46" s="1140" t="s">
        <v>545</v>
      </c>
      <c r="C46" s="1141"/>
      <c r="D46" s="1141"/>
      <c r="E46" s="1141"/>
      <c r="F46" s="1141"/>
      <c r="G46" s="1141"/>
      <c r="H46" s="1141"/>
      <c r="I46" s="1141"/>
      <c r="J46" s="1141"/>
      <c r="K46" s="1141"/>
      <c r="L46" s="1141"/>
      <c r="M46" s="1141"/>
      <c r="N46" s="1141"/>
      <c r="O46" s="1141"/>
      <c r="P46" s="1141"/>
    </row>
    <row r="47" spans="1:16" s="15" customFormat="1" ht="15.75" thickTop="1">
      <c r="A47" s="1139"/>
      <c r="B47" s="1142" t="s">
        <v>21</v>
      </c>
      <c r="C47" s="1142" t="s">
        <v>196</v>
      </c>
      <c r="D47" s="1144" t="s">
        <v>197</v>
      </c>
      <c r="E47" s="1145"/>
      <c r="F47" s="1145"/>
      <c r="G47" s="1145"/>
      <c r="H47" s="1145"/>
      <c r="I47" s="1145"/>
      <c r="J47" s="1145"/>
      <c r="K47" s="1146"/>
      <c r="L47" s="1144" t="s">
        <v>198</v>
      </c>
      <c r="M47" s="1145"/>
      <c r="N47" s="1145"/>
      <c r="O47" s="1145"/>
      <c r="P47" s="1146"/>
    </row>
    <row r="48" spans="1:16" s="15" customFormat="1" ht="45">
      <c r="A48" s="1139"/>
      <c r="B48" s="1143"/>
      <c r="C48" s="114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3.7505764488071983E-2</v>
      </c>
      <c r="H50" s="321">
        <f t="shared" si="2"/>
        <v>0</v>
      </c>
      <c r="I50" s="321">
        <f t="shared" si="2"/>
        <v>0</v>
      </c>
      <c r="J50" s="321">
        <f t="shared" si="2"/>
        <v>0</v>
      </c>
      <c r="K50" s="321">
        <f t="shared" si="2"/>
        <v>0</v>
      </c>
      <c r="L50" s="321">
        <f t="shared" si="2"/>
        <v>0</v>
      </c>
      <c r="M50" s="321">
        <f t="shared" si="2"/>
        <v>2.1301618508602943E-3</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3.7505764488071983E-2</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2.1301618508602943E-3</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10418.267913353329</v>
      </c>
      <c r="H54" s="21">
        <f t="shared" si="3"/>
        <v>0</v>
      </c>
      <c r="I54" s="21">
        <f t="shared" si="3"/>
        <v>0</v>
      </c>
      <c r="J54" s="21">
        <f t="shared" si="3"/>
        <v>0</v>
      </c>
      <c r="K54" s="21">
        <f t="shared" si="3"/>
        <v>0</v>
      </c>
      <c r="L54" s="21">
        <f t="shared" si="3"/>
        <v>0</v>
      </c>
      <c r="M54" s="21">
        <f t="shared" si="3"/>
        <v>591.71162523897067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0.21468763076343098</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2781.6775328653389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2013</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171" t="s">
        <v>241</v>
      </c>
      <c r="B1" s="1171" t="s">
        <v>242</v>
      </c>
      <c r="C1" s="1174" t="s">
        <v>243</v>
      </c>
      <c r="D1" s="1175"/>
      <c r="E1" s="1175"/>
      <c r="F1" s="1175"/>
      <c r="G1" s="1175"/>
      <c r="H1" s="1175"/>
      <c r="I1" s="1175"/>
      <c r="J1" s="1175"/>
      <c r="K1" s="1175"/>
      <c r="L1" s="1176"/>
      <c r="M1" s="1160" t="s">
        <v>244</v>
      </c>
      <c r="N1" s="1159" t="s">
        <v>547</v>
      </c>
      <c r="O1" s="1160"/>
      <c r="Q1" s="1158"/>
      <c r="R1" s="1158"/>
      <c r="S1" s="1158"/>
    </row>
    <row r="2" spans="1:19" s="563" customFormat="1" ht="15.75" thickBot="1">
      <c r="A2" s="1172"/>
      <c r="B2" s="1172"/>
      <c r="C2" s="1195" t="s">
        <v>197</v>
      </c>
      <c r="D2" s="1196"/>
      <c r="E2" s="1196"/>
      <c r="F2" s="1196"/>
      <c r="G2" s="1197"/>
      <c r="H2" s="1198" t="s">
        <v>245</v>
      </c>
      <c r="I2" s="1184" t="s">
        <v>246</v>
      </c>
      <c r="J2" s="1184" t="s">
        <v>234</v>
      </c>
      <c r="K2" s="1184" t="s">
        <v>247</v>
      </c>
      <c r="L2" s="1186" t="s">
        <v>127</v>
      </c>
      <c r="M2" s="1162"/>
      <c r="N2" s="1161"/>
      <c r="O2" s="1162"/>
      <c r="Q2" s="1158"/>
      <c r="R2" s="1158"/>
      <c r="S2" s="1158"/>
    </row>
    <row r="3" spans="1:19" s="563" customFormat="1" ht="53.45" customHeight="1" thickBot="1">
      <c r="A3" s="1173"/>
      <c r="B3" s="1163"/>
      <c r="C3" s="564" t="s">
        <v>199</v>
      </c>
      <c r="D3" s="565" t="s">
        <v>200</v>
      </c>
      <c r="E3" s="566" t="s">
        <v>201</v>
      </c>
      <c r="F3" s="567" t="s">
        <v>203</v>
      </c>
      <c r="G3" s="568" t="s">
        <v>204</v>
      </c>
      <c r="H3" s="1181"/>
      <c r="I3" s="1185"/>
      <c r="J3" s="1185"/>
      <c r="K3" s="1185"/>
      <c r="L3" s="1194"/>
      <c r="M3" s="1164"/>
      <c r="N3" s="1163"/>
      <c r="O3" s="1164"/>
      <c r="Q3" s="1158"/>
      <c r="R3" s="1158"/>
      <c r="S3" s="1158"/>
    </row>
    <row r="4" spans="1:19" s="563" customFormat="1" ht="15.75" thickTop="1">
      <c r="A4" s="569" t="s">
        <v>249</v>
      </c>
      <c r="B4" s="570">
        <f>IF(ISERROR(kWh_wind_land),0,kWh_wind_land)</f>
        <v>0</v>
      </c>
      <c r="C4" s="1202"/>
      <c r="D4" s="1190"/>
      <c r="E4" s="1190"/>
      <c r="F4" s="1205"/>
      <c r="G4" s="1208"/>
      <c r="H4" s="1199"/>
      <c r="I4" s="1190"/>
      <c r="J4" s="1190"/>
      <c r="K4" s="571"/>
      <c r="L4" s="1191"/>
      <c r="M4" s="572"/>
      <c r="N4" s="1165"/>
      <c r="O4" s="1166"/>
      <c r="Q4" s="573"/>
      <c r="R4" s="1155"/>
      <c r="S4" s="1155"/>
    </row>
    <row r="5" spans="1:19" s="563" customFormat="1">
      <c r="A5" s="574" t="s">
        <v>250</v>
      </c>
      <c r="B5" s="570">
        <f>IF(ISERROR(kWh_waterkracht),0,kWh_waterkracht)</f>
        <v>0</v>
      </c>
      <c r="C5" s="1203"/>
      <c r="D5" s="1188"/>
      <c r="E5" s="1188"/>
      <c r="F5" s="1206"/>
      <c r="G5" s="1209"/>
      <c r="H5" s="1200"/>
      <c r="I5" s="1188"/>
      <c r="J5" s="1188"/>
      <c r="K5" s="1188"/>
      <c r="L5" s="1192"/>
      <c r="M5" s="575"/>
      <c r="N5" s="1167"/>
      <c r="O5" s="1168"/>
      <c r="Q5" s="573"/>
      <c r="R5" s="1155"/>
      <c r="S5" s="1155"/>
    </row>
    <row r="6" spans="1:19" s="563" customFormat="1">
      <c r="A6" s="574" t="s">
        <v>251</v>
      </c>
      <c r="B6" s="570">
        <f>IF(ISERROR((kWh_PV_kleiner_dan_10kW+kWh_PV_groter_dan_10kW)),0,(kWh_PV_kleiner_dan_10kW+kWh_PV_groter_dan_10kW))</f>
        <v>14199.421314304502</v>
      </c>
      <c r="C6" s="1204"/>
      <c r="D6" s="1189"/>
      <c r="E6" s="1189"/>
      <c r="F6" s="1207"/>
      <c r="G6" s="1210"/>
      <c r="H6" s="1201"/>
      <c r="I6" s="1189"/>
      <c r="J6" s="1189"/>
      <c r="K6" s="1189"/>
      <c r="L6" s="1193"/>
      <c r="M6" s="575"/>
      <c r="N6" s="1167"/>
      <c r="O6" s="1168"/>
      <c r="Q6" s="573"/>
      <c r="R6" s="1155"/>
      <c r="S6" s="1155"/>
    </row>
    <row r="7" spans="1:19" s="563" customFormat="1">
      <c r="A7" s="576" t="s">
        <v>252</v>
      </c>
      <c r="B7" s="577">
        <f>N57</f>
        <v>0</v>
      </c>
      <c r="C7" s="578">
        <f>B100</f>
        <v>0</v>
      </c>
      <c r="D7" s="579"/>
      <c r="E7" s="579">
        <f>E100</f>
        <v>0</v>
      </c>
      <c r="F7" s="580"/>
      <c r="G7" s="581"/>
      <c r="H7" s="579">
        <f>I100</f>
        <v>0</v>
      </c>
      <c r="I7" s="579">
        <f>G100+F100</f>
        <v>0</v>
      </c>
      <c r="J7" s="579">
        <f>H100+D100+C100</f>
        <v>0</v>
      </c>
      <c r="K7" s="579"/>
      <c r="L7" s="582"/>
      <c r="M7" s="583">
        <f>C7*$C$11+D7*$D$11+E7*$E$11+F7*$F$11+G7*$G$11+H7*$H$11+I7*$I$11+J7*$J$11</f>
        <v>0</v>
      </c>
      <c r="N7" s="1167"/>
      <c r="O7" s="1168"/>
      <c r="Q7" s="573"/>
      <c r="R7" s="1155"/>
      <c r="S7" s="1155"/>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169"/>
      <c r="O8" s="1170"/>
      <c r="P8" s="591"/>
      <c r="Q8" s="573"/>
      <c r="R8" s="1155"/>
      <c r="S8" s="1155"/>
    </row>
    <row r="9" spans="1:19" s="563" customFormat="1" ht="16.5" thickTop="1" thickBot="1">
      <c r="A9" s="592" t="s">
        <v>116</v>
      </c>
      <c r="B9" s="593">
        <f>SUM(B4:B8)</f>
        <v>14199.421314304502</v>
      </c>
      <c r="C9" s="594">
        <f t="shared" ref="C9:L9" si="0">SUM(C7:C8)</f>
        <v>0</v>
      </c>
      <c r="D9" s="594">
        <f t="shared" si="0"/>
        <v>0</v>
      </c>
      <c r="E9" s="594">
        <f t="shared" si="0"/>
        <v>0</v>
      </c>
      <c r="F9" s="594">
        <f t="shared" si="0"/>
        <v>0</v>
      </c>
      <c r="G9" s="594">
        <f t="shared" si="0"/>
        <v>0</v>
      </c>
      <c r="H9" s="594">
        <f t="shared" si="0"/>
        <v>0</v>
      </c>
      <c r="I9" s="594">
        <f t="shared" si="0"/>
        <v>0</v>
      </c>
      <c r="J9" s="594">
        <f t="shared" si="0"/>
        <v>0</v>
      </c>
      <c r="K9" s="594">
        <f t="shared" si="0"/>
        <v>0</v>
      </c>
      <c r="L9" s="594">
        <f t="shared" si="0"/>
        <v>0</v>
      </c>
      <c r="M9" s="595">
        <f>SUM(M4:M8)</f>
        <v>0</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171" t="s">
        <v>253</v>
      </c>
      <c r="B13" s="1171" t="s">
        <v>254</v>
      </c>
      <c r="C13" s="1174" t="s">
        <v>255</v>
      </c>
      <c r="D13" s="1175"/>
      <c r="E13" s="1175"/>
      <c r="F13" s="1175"/>
      <c r="G13" s="1175"/>
      <c r="H13" s="1175"/>
      <c r="I13" s="1175"/>
      <c r="J13" s="1175"/>
      <c r="K13" s="1175"/>
      <c r="L13" s="1176"/>
      <c r="M13" s="1160" t="s">
        <v>244</v>
      </c>
      <c r="N13" s="1159" t="s">
        <v>256</v>
      </c>
      <c r="O13" s="1160"/>
      <c r="P13" s="1158"/>
      <c r="Q13" s="1158"/>
      <c r="R13" s="1158"/>
    </row>
    <row r="14" spans="1:19" s="563" customFormat="1" ht="15.75" thickBot="1">
      <c r="A14" s="1172"/>
      <c r="B14" s="1172"/>
      <c r="C14" s="1177" t="s">
        <v>197</v>
      </c>
      <c r="D14" s="1178"/>
      <c r="E14" s="1178"/>
      <c r="F14" s="1178"/>
      <c r="G14" s="1179"/>
      <c r="H14" s="1180" t="s">
        <v>245</v>
      </c>
      <c r="I14" s="1180" t="s">
        <v>246</v>
      </c>
      <c r="J14" s="1182" t="s">
        <v>234</v>
      </c>
      <c r="K14" s="1184" t="s">
        <v>257</v>
      </c>
      <c r="L14" s="1186" t="s">
        <v>127</v>
      </c>
      <c r="M14" s="1162"/>
      <c r="N14" s="1161"/>
      <c r="O14" s="1162"/>
      <c r="P14" s="1158"/>
      <c r="Q14" s="1158"/>
      <c r="R14" s="1158"/>
    </row>
    <row r="15" spans="1:19" s="563" customFormat="1" ht="40.700000000000003" customHeight="1" thickBot="1">
      <c r="A15" s="1173"/>
      <c r="B15" s="1173"/>
      <c r="C15" s="605" t="s">
        <v>199</v>
      </c>
      <c r="D15" s="565" t="s">
        <v>200</v>
      </c>
      <c r="E15" s="606" t="s">
        <v>201</v>
      </c>
      <c r="F15" s="565" t="s">
        <v>203</v>
      </c>
      <c r="G15" s="607" t="s">
        <v>204</v>
      </c>
      <c r="H15" s="1181"/>
      <c r="I15" s="1181"/>
      <c r="J15" s="1183"/>
      <c r="K15" s="1185"/>
      <c r="L15" s="1187"/>
      <c r="M15" s="1164"/>
      <c r="N15" s="1163"/>
      <c r="O15" s="1164"/>
      <c r="P15" s="1158"/>
      <c r="Q15" s="1158"/>
      <c r="R15" s="1158"/>
    </row>
    <row r="16" spans="1:19" s="563" customFormat="1" ht="15.75" thickTop="1">
      <c r="A16" s="608" t="s">
        <v>252</v>
      </c>
      <c r="B16" s="609">
        <f>O57</f>
        <v>0</v>
      </c>
      <c r="C16" s="610">
        <f>B101</f>
        <v>0</v>
      </c>
      <c r="D16" s="611"/>
      <c r="E16" s="611">
        <f>E101</f>
        <v>0</v>
      </c>
      <c r="F16" s="612"/>
      <c r="G16" s="613"/>
      <c r="H16" s="610">
        <f>I101</f>
        <v>0</v>
      </c>
      <c r="I16" s="611">
        <f>G101+F101</f>
        <v>0</v>
      </c>
      <c r="J16" s="611">
        <f>H101+D101+C101</f>
        <v>0</v>
      </c>
      <c r="K16" s="611"/>
      <c r="L16" s="614"/>
      <c r="M16" s="615">
        <f>C16*$C$21+E16*$E$21+H16*$H$21+I16*$I$21+J16*$J$21+D16*$D$21+F16*$F$21+G16*$G$21+K16*$K$21+L16*$L$21</f>
        <v>0</v>
      </c>
      <c r="N16" s="1150"/>
      <c r="O16" s="1151"/>
      <c r="P16" s="616"/>
      <c r="Q16" s="1152"/>
      <c r="R16" s="1152"/>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153"/>
      <c r="O17" s="1154"/>
      <c r="P17" s="573"/>
      <c r="Q17" s="1155"/>
      <c r="R17" s="1155"/>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156"/>
      <c r="O18" s="1157"/>
      <c r="P18" s="573"/>
      <c r="Q18" s="1155"/>
      <c r="R18" s="1155"/>
    </row>
    <row r="19" spans="1:26" s="563" customFormat="1" ht="16.5" thickTop="1" thickBot="1">
      <c r="A19" s="592" t="s">
        <v>116</v>
      </c>
      <c r="B19" s="593">
        <f>SUM(B16:B18)</f>
        <v>0</v>
      </c>
      <c r="C19" s="593">
        <f>SUM(C16:C18)</f>
        <v>0</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0</v>
      </c>
      <c r="N19" s="1147"/>
      <c r="O19" s="1148"/>
      <c r="P19" s="573"/>
      <c r="Q19" s="1149"/>
      <c r="R19" s="1149"/>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12.75">
      <c r="A27" s="624"/>
      <c r="B27" s="851"/>
      <c r="C27" s="851"/>
      <c r="D27" s="672"/>
      <c r="E27" s="671"/>
      <c r="F27" s="671"/>
      <c r="G27" s="671"/>
      <c r="H27" s="671"/>
      <c r="I27" s="671"/>
      <c r="J27" s="850"/>
      <c r="K27" s="850"/>
      <c r="L27" s="671"/>
      <c r="M27" s="671"/>
      <c r="N27" s="671"/>
      <c r="O27" s="671"/>
      <c r="P27" s="671"/>
      <c r="Q27" s="671"/>
      <c r="R27" s="671"/>
      <c r="S27" s="671"/>
      <c r="T27" s="671"/>
      <c r="U27" s="671"/>
      <c r="V27" s="671"/>
      <c r="W27" s="671"/>
      <c r="X27" s="671"/>
      <c r="Y27" s="671"/>
      <c r="Z27" s="673"/>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0</v>
      </c>
      <c r="N57" s="629">
        <f>SUM(N27:N56)</f>
        <v>0</v>
      </c>
      <c r="O57" s="629">
        <f t="shared" ref="O57:W57" si="2">SUM(O27:O56)</f>
        <v>0</v>
      </c>
      <c r="P57" s="629">
        <f t="shared" si="2"/>
        <v>0</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0</v>
      </c>
      <c r="N60" s="634">
        <f t="shared" ref="N60:W60" si="4">SUMIF($Z$27:$Z$56,"landbouw",N27:N56)</f>
        <v>0</v>
      </c>
      <c r="O60" s="634">
        <f t="shared" si="4"/>
        <v>0</v>
      </c>
      <c r="P60" s="634">
        <f t="shared" si="4"/>
        <v>0</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v>
      </c>
      <c r="C97" s="654">
        <f>IF(ISERROR(N57/(O57+N57)),0,N57/(N57+O57))</f>
        <v>0</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0</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0</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3"/>
      <c r="B4" s="473"/>
      <c r="C4" s="63"/>
      <c r="D4" s="63"/>
      <c r="E4" s="63"/>
      <c r="F4" s="63"/>
      <c r="G4" s="63"/>
      <c r="H4" s="63"/>
      <c r="I4" s="63"/>
      <c r="J4" s="63"/>
      <c r="K4" s="63"/>
      <c r="L4" s="63"/>
      <c r="M4" s="63"/>
      <c r="N4" s="63"/>
      <c r="O4" s="63"/>
      <c r="P4" s="63"/>
      <c r="Q4" s="63"/>
      <c r="R4" s="63"/>
    </row>
    <row r="5" spans="1:19" ht="16.5" thickBot="1">
      <c r="A5" s="1084" t="s">
        <v>222</v>
      </c>
      <c r="B5" s="860"/>
      <c r="C5" s="1087" t="s">
        <v>343</v>
      </c>
      <c r="D5" s="1088"/>
      <c r="E5" s="1088"/>
      <c r="F5" s="1088"/>
      <c r="G5" s="1088"/>
      <c r="H5" s="1088"/>
      <c r="I5" s="1088"/>
      <c r="J5" s="1088"/>
      <c r="K5" s="1088"/>
      <c r="L5" s="1088"/>
      <c r="M5" s="1088"/>
      <c r="N5" s="1088"/>
      <c r="O5" s="1088"/>
      <c r="P5" s="1088"/>
      <c r="Q5" s="1088"/>
      <c r="R5" s="1089"/>
    </row>
    <row r="6" spans="1:19" ht="16.5" thickTop="1">
      <c r="A6" s="1085"/>
      <c r="B6" s="861"/>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2"/>
      <c r="C7" s="1091"/>
      <c r="D7" s="109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098"/>
    </row>
    <row r="8" spans="1:19" ht="18.75" customHeight="1" thickTop="1">
      <c r="A8" s="869" t="s">
        <v>344</v>
      </c>
      <c r="B8" s="874"/>
      <c r="C8" s="1069"/>
      <c r="D8" s="1069"/>
      <c r="E8" s="1069"/>
      <c r="F8" s="1069"/>
      <c r="G8" s="1069"/>
      <c r="H8" s="1069"/>
      <c r="I8" s="1069"/>
      <c r="J8" s="1069"/>
      <c r="K8" s="1069"/>
      <c r="L8" s="1069"/>
      <c r="M8" s="1069"/>
      <c r="N8" s="1069"/>
      <c r="O8" s="1069"/>
      <c r="P8" s="1069"/>
      <c r="Q8" s="106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196127.14413575456</v>
      </c>
      <c r="D10" s="718">
        <f ca="1">tertiair!C16</f>
        <v>0</v>
      </c>
      <c r="E10" s="718">
        <f ca="1">tertiair!D16</f>
        <v>218371.42486744636</v>
      </c>
      <c r="F10" s="718">
        <f>tertiair!E16</f>
        <v>1858.4068449651943</v>
      </c>
      <c r="G10" s="718">
        <f ca="1">tertiair!F16</f>
        <v>32299.828773846719</v>
      </c>
      <c r="H10" s="718">
        <f>tertiair!G16</f>
        <v>0</v>
      </c>
      <c r="I10" s="718">
        <f>tertiair!H16</f>
        <v>0</v>
      </c>
      <c r="J10" s="718">
        <f>tertiair!I16</f>
        <v>0</v>
      </c>
      <c r="K10" s="718">
        <f>tertiair!J16</f>
        <v>0.35628422550104122</v>
      </c>
      <c r="L10" s="718">
        <f>tertiair!K16</f>
        <v>0</v>
      </c>
      <c r="M10" s="718">
        <f ca="1">tertiair!L16</f>
        <v>0</v>
      </c>
      <c r="N10" s="718">
        <f>tertiair!M16</f>
        <v>0</v>
      </c>
      <c r="O10" s="718">
        <f ca="1">tertiair!N16</f>
        <v>14254.667023675844</v>
      </c>
      <c r="P10" s="718">
        <f>tertiair!O16</f>
        <v>4.6900000000000004</v>
      </c>
      <c r="Q10" s="719">
        <f>tertiair!P16</f>
        <v>228.8</v>
      </c>
      <c r="R10" s="721">
        <f ca="1">SUM(C10:Q10)</f>
        <v>463145.31792991416</v>
      </c>
      <c r="S10" s="67"/>
    </row>
    <row r="11" spans="1:19" s="474" customFormat="1">
      <c r="A11" s="870" t="s">
        <v>225</v>
      </c>
      <c r="B11" s="875"/>
      <c r="C11" s="718">
        <f>huishoudens!B8</f>
        <v>113078.87725260017</v>
      </c>
      <c r="D11" s="718">
        <f>huishoudens!C8</f>
        <v>0</v>
      </c>
      <c r="E11" s="718">
        <f>huishoudens!D8</f>
        <v>386729.80920737277</v>
      </c>
      <c r="F11" s="718">
        <f>huishoudens!E8</f>
        <v>7432.2225765029343</v>
      </c>
      <c r="G11" s="718">
        <f>huishoudens!F8</f>
        <v>0</v>
      </c>
      <c r="H11" s="718">
        <f>huishoudens!G8</f>
        <v>0</v>
      </c>
      <c r="I11" s="718">
        <f>huishoudens!H8</f>
        <v>0</v>
      </c>
      <c r="J11" s="718">
        <f>huishoudens!I8</f>
        <v>0</v>
      </c>
      <c r="K11" s="718">
        <f>huishoudens!J8</f>
        <v>0</v>
      </c>
      <c r="L11" s="718">
        <f>huishoudens!K8</f>
        <v>0</v>
      </c>
      <c r="M11" s="718">
        <f>huishoudens!L8</f>
        <v>0</v>
      </c>
      <c r="N11" s="718">
        <f>huishoudens!M8</f>
        <v>0</v>
      </c>
      <c r="O11" s="718">
        <f>huishoudens!N8</f>
        <v>35125.526673233093</v>
      </c>
      <c r="P11" s="718">
        <f>huishoudens!O8</f>
        <v>637.84</v>
      </c>
      <c r="Q11" s="719">
        <f>huishoudens!P8</f>
        <v>2345.1999999999998</v>
      </c>
      <c r="R11" s="721">
        <f>SUM(C11:Q11)</f>
        <v>545349.47570970887</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186712.43372355879</v>
      </c>
      <c r="D13" s="718">
        <f>industrie!C18</f>
        <v>0</v>
      </c>
      <c r="E13" s="718">
        <f>industrie!D18</f>
        <v>278453.17446215713</v>
      </c>
      <c r="F13" s="718">
        <f>industrie!E18</f>
        <v>10684.736686469614</v>
      </c>
      <c r="G13" s="718">
        <f>industrie!F18</f>
        <v>36689.262051645055</v>
      </c>
      <c r="H13" s="718">
        <f>industrie!G18</f>
        <v>0</v>
      </c>
      <c r="I13" s="718">
        <f>industrie!H18</f>
        <v>0</v>
      </c>
      <c r="J13" s="718">
        <f>industrie!I18</f>
        <v>0</v>
      </c>
      <c r="K13" s="718">
        <f>industrie!J18</f>
        <v>468.93367682933939</v>
      </c>
      <c r="L13" s="718">
        <f>industrie!K18</f>
        <v>0</v>
      </c>
      <c r="M13" s="718">
        <f>industrie!L18</f>
        <v>0</v>
      </c>
      <c r="N13" s="718">
        <f>industrie!M18</f>
        <v>0</v>
      </c>
      <c r="O13" s="718">
        <f>industrie!N18</f>
        <v>48898.231349753783</v>
      </c>
      <c r="P13" s="718">
        <f>industrie!O18</f>
        <v>0</v>
      </c>
      <c r="Q13" s="719">
        <f>industrie!P18</f>
        <v>0</v>
      </c>
      <c r="R13" s="721">
        <f>SUM(C13:Q13)</f>
        <v>561906.77195041371</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495918.4551119135</v>
      </c>
      <c r="D15" s="723">
        <f t="shared" ref="D15:Q15" ca="1" si="0">SUM(D9:D14)</f>
        <v>0</v>
      </c>
      <c r="E15" s="723">
        <f t="shared" ca="1" si="0"/>
        <v>883554.4085369762</v>
      </c>
      <c r="F15" s="723">
        <f t="shared" si="0"/>
        <v>19975.366107937742</v>
      </c>
      <c r="G15" s="723">
        <f t="shared" ca="1" si="0"/>
        <v>68989.090825491774</v>
      </c>
      <c r="H15" s="723">
        <f t="shared" si="0"/>
        <v>0</v>
      </c>
      <c r="I15" s="723">
        <f t="shared" si="0"/>
        <v>0</v>
      </c>
      <c r="J15" s="723">
        <f t="shared" si="0"/>
        <v>0</v>
      </c>
      <c r="K15" s="723">
        <f t="shared" si="0"/>
        <v>469.28996105484043</v>
      </c>
      <c r="L15" s="723">
        <f t="shared" si="0"/>
        <v>0</v>
      </c>
      <c r="M15" s="723">
        <f t="shared" ca="1" si="0"/>
        <v>0</v>
      </c>
      <c r="N15" s="723">
        <f t="shared" si="0"/>
        <v>0</v>
      </c>
      <c r="O15" s="723">
        <f t="shared" ca="1" si="0"/>
        <v>98278.425046662713</v>
      </c>
      <c r="P15" s="723">
        <f t="shared" si="0"/>
        <v>642.53000000000009</v>
      </c>
      <c r="Q15" s="724">
        <f t="shared" si="0"/>
        <v>2574</v>
      </c>
      <c r="R15" s="725">
        <f ca="1">SUM(R9:R14)</f>
        <v>1570401.5655900368</v>
      </c>
      <c r="S15" s="67"/>
    </row>
    <row r="16" spans="1:19" s="474" customFormat="1" ht="15.75">
      <c r="A16" s="872" t="s">
        <v>227</v>
      </c>
      <c r="B16" s="768"/>
      <c r="C16" s="1070"/>
      <c r="D16" s="1070"/>
      <c r="E16" s="1070"/>
      <c r="F16" s="1070"/>
      <c r="G16" s="1070"/>
      <c r="H16" s="1070"/>
      <c r="I16" s="1070"/>
      <c r="J16" s="1070"/>
      <c r="K16" s="1070"/>
      <c r="L16" s="1070"/>
      <c r="M16" s="1070"/>
      <c r="N16" s="1070"/>
      <c r="O16" s="1070"/>
      <c r="P16" s="1070"/>
      <c r="Q16" s="107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10418.267913353329</v>
      </c>
      <c r="I18" s="718">
        <f>transport!H54</f>
        <v>0</v>
      </c>
      <c r="J18" s="718">
        <f>transport!I54</f>
        <v>0</v>
      </c>
      <c r="K18" s="718">
        <f>transport!J54</f>
        <v>0</v>
      </c>
      <c r="L18" s="718">
        <f>transport!K54</f>
        <v>0</v>
      </c>
      <c r="M18" s="718">
        <f>transport!L54</f>
        <v>0</v>
      </c>
      <c r="N18" s="718">
        <f>transport!M54</f>
        <v>591.71162523897067</v>
      </c>
      <c r="O18" s="718">
        <f>transport!N54</f>
        <v>0</v>
      </c>
      <c r="P18" s="718">
        <f>transport!O54</f>
        <v>0</v>
      </c>
      <c r="Q18" s="719">
        <f>transport!P54</f>
        <v>0</v>
      </c>
      <c r="R18" s="721">
        <f>SUM(C18:Q18)</f>
        <v>11009.979538592301</v>
      </c>
      <c r="S18" s="67"/>
    </row>
    <row r="19" spans="1:19" s="474" customFormat="1" ht="15" thickBot="1">
      <c r="A19" s="870" t="s">
        <v>307</v>
      </c>
      <c r="B19" s="875"/>
      <c r="C19" s="727">
        <f>transport!B14</f>
        <v>296.83782762683404</v>
      </c>
      <c r="D19" s="727">
        <f>transport!C14</f>
        <v>0</v>
      </c>
      <c r="E19" s="727">
        <f>transport!D14</f>
        <v>981.55498608068012</v>
      </c>
      <c r="F19" s="727">
        <f>transport!E14</f>
        <v>1476.8354124540069</v>
      </c>
      <c r="G19" s="727">
        <f>transport!F14</f>
        <v>0</v>
      </c>
      <c r="H19" s="727">
        <f>transport!G14</f>
        <v>525717.24679609481</v>
      </c>
      <c r="I19" s="727">
        <f>transport!H14</f>
        <v>113307.15304049509</v>
      </c>
      <c r="J19" s="727">
        <f>transport!I14</f>
        <v>0</v>
      </c>
      <c r="K19" s="727">
        <f>transport!J14</f>
        <v>0</v>
      </c>
      <c r="L19" s="727">
        <f>transport!K14</f>
        <v>0</v>
      </c>
      <c r="M19" s="727">
        <f>transport!L14</f>
        <v>0</v>
      </c>
      <c r="N19" s="727">
        <f>transport!M14</f>
        <v>34078.262397415143</v>
      </c>
      <c r="O19" s="727">
        <f>transport!N14</f>
        <v>0</v>
      </c>
      <c r="P19" s="727">
        <f>transport!O14</f>
        <v>0</v>
      </c>
      <c r="Q19" s="728">
        <f>transport!P14</f>
        <v>0</v>
      </c>
      <c r="R19" s="729">
        <f>SUM(C19:Q19)</f>
        <v>675857.89046016661</v>
      </c>
      <c r="S19" s="67"/>
    </row>
    <row r="20" spans="1:19" s="474" customFormat="1" ht="15.75" thickBot="1">
      <c r="A20" s="730" t="s">
        <v>230</v>
      </c>
      <c r="B20" s="878"/>
      <c r="C20" s="873">
        <f>SUM(C17:C19)</f>
        <v>296.83782762683404</v>
      </c>
      <c r="D20" s="731">
        <f t="shared" ref="D20:R20" si="1">SUM(D17:D19)</f>
        <v>0</v>
      </c>
      <c r="E20" s="731">
        <f t="shared" si="1"/>
        <v>981.55498608068012</v>
      </c>
      <c r="F20" s="731">
        <f t="shared" si="1"/>
        <v>1476.8354124540069</v>
      </c>
      <c r="G20" s="731">
        <f t="shared" si="1"/>
        <v>0</v>
      </c>
      <c r="H20" s="731">
        <f t="shared" si="1"/>
        <v>536135.51470944809</v>
      </c>
      <c r="I20" s="731">
        <f t="shared" si="1"/>
        <v>113307.15304049509</v>
      </c>
      <c r="J20" s="731">
        <f t="shared" si="1"/>
        <v>0</v>
      </c>
      <c r="K20" s="731">
        <f t="shared" si="1"/>
        <v>0</v>
      </c>
      <c r="L20" s="731">
        <f t="shared" si="1"/>
        <v>0</v>
      </c>
      <c r="M20" s="731">
        <f t="shared" si="1"/>
        <v>0</v>
      </c>
      <c r="N20" s="731">
        <f t="shared" si="1"/>
        <v>34669.974022654111</v>
      </c>
      <c r="O20" s="731">
        <f t="shared" si="1"/>
        <v>0</v>
      </c>
      <c r="P20" s="731">
        <f t="shared" si="1"/>
        <v>0</v>
      </c>
      <c r="Q20" s="732">
        <f t="shared" si="1"/>
        <v>0</v>
      </c>
      <c r="R20" s="733">
        <f t="shared" si="1"/>
        <v>686867.86999875889</v>
      </c>
      <c r="S20" s="67"/>
    </row>
    <row r="21" spans="1:19" s="474" customFormat="1" ht="15.75">
      <c r="A21" s="872" t="s">
        <v>237</v>
      </c>
      <c r="B21" s="768"/>
      <c r="C21" s="1070"/>
      <c r="D21" s="1070"/>
      <c r="E21" s="1070"/>
      <c r="F21" s="1070"/>
      <c r="G21" s="1070"/>
      <c r="H21" s="1070"/>
      <c r="I21" s="1070"/>
      <c r="J21" s="1070"/>
      <c r="K21" s="1070"/>
      <c r="L21" s="1070"/>
      <c r="M21" s="1070"/>
      <c r="N21" s="1070"/>
      <c r="O21" s="1070"/>
      <c r="P21" s="1070"/>
      <c r="Q21" s="1070"/>
      <c r="R21" s="726"/>
      <c r="S21" s="67"/>
    </row>
    <row r="22" spans="1:19" s="474" customFormat="1" ht="15" thickBot="1">
      <c r="A22" s="870" t="s">
        <v>633</v>
      </c>
      <c r="B22" s="879"/>
      <c r="C22" s="727">
        <f>+landbouw!B8</f>
        <v>915.33945149888098</v>
      </c>
      <c r="D22" s="727">
        <f>+landbouw!C8</f>
        <v>0</v>
      </c>
      <c r="E22" s="727">
        <f>+landbouw!D8</f>
        <v>22171.877522870418</v>
      </c>
      <c r="F22" s="727">
        <f>+landbouw!E8</f>
        <v>26.904622248928884</v>
      </c>
      <c r="G22" s="727">
        <f>+landbouw!F8</f>
        <v>3813.254692596543</v>
      </c>
      <c r="H22" s="727">
        <f>+landbouw!G8</f>
        <v>0</v>
      </c>
      <c r="I22" s="727">
        <f>+landbouw!H8</f>
        <v>0</v>
      </c>
      <c r="J22" s="727">
        <f>+landbouw!I8</f>
        <v>0</v>
      </c>
      <c r="K22" s="727">
        <f>+landbouw!J8</f>
        <v>132.61302938245387</v>
      </c>
      <c r="L22" s="727">
        <f>+landbouw!K8</f>
        <v>0</v>
      </c>
      <c r="M22" s="727">
        <f>+landbouw!L8</f>
        <v>0</v>
      </c>
      <c r="N22" s="727">
        <f>+landbouw!M8</f>
        <v>0</v>
      </c>
      <c r="O22" s="727">
        <f>+landbouw!N8</f>
        <v>0</v>
      </c>
      <c r="P22" s="727">
        <f>+landbouw!O8</f>
        <v>0</v>
      </c>
      <c r="Q22" s="728">
        <f>+landbouw!P8</f>
        <v>0</v>
      </c>
      <c r="R22" s="729">
        <f>SUM(C22:Q22)</f>
        <v>27059.989318597225</v>
      </c>
      <c r="S22" s="67"/>
    </row>
    <row r="23" spans="1:19" s="474" customFormat="1" ht="17.25" thickTop="1" thickBot="1">
      <c r="A23" s="734" t="s">
        <v>116</v>
      </c>
      <c r="B23" s="864"/>
      <c r="C23" s="735">
        <f ca="1">C20+C15+C22</f>
        <v>497130.63239103922</v>
      </c>
      <c r="D23" s="735">
        <f t="shared" ref="D23:Q23" ca="1" si="2">D20+D15+D22</f>
        <v>0</v>
      </c>
      <c r="E23" s="735">
        <f t="shared" ca="1" si="2"/>
        <v>906707.84104592737</v>
      </c>
      <c r="F23" s="735">
        <f t="shared" si="2"/>
        <v>21479.106142640678</v>
      </c>
      <c r="G23" s="735">
        <f t="shared" ca="1" si="2"/>
        <v>72802.345518088317</v>
      </c>
      <c r="H23" s="735">
        <f t="shared" si="2"/>
        <v>536135.51470944809</v>
      </c>
      <c r="I23" s="735">
        <f t="shared" si="2"/>
        <v>113307.15304049509</v>
      </c>
      <c r="J23" s="735">
        <f t="shared" si="2"/>
        <v>0</v>
      </c>
      <c r="K23" s="735">
        <f t="shared" si="2"/>
        <v>601.90299043729431</v>
      </c>
      <c r="L23" s="735">
        <f t="shared" si="2"/>
        <v>0</v>
      </c>
      <c r="M23" s="735">
        <f t="shared" ca="1" si="2"/>
        <v>0</v>
      </c>
      <c r="N23" s="735">
        <f t="shared" si="2"/>
        <v>34669.974022654111</v>
      </c>
      <c r="O23" s="735">
        <f t="shared" ca="1" si="2"/>
        <v>98278.425046662713</v>
      </c>
      <c r="P23" s="735">
        <f t="shared" si="2"/>
        <v>642.53000000000009</v>
      </c>
      <c r="Q23" s="736">
        <f t="shared" si="2"/>
        <v>2574</v>
      </c>
      <c r="R23" s="737">
        <f ca="1">R20+R15+R22</f>
        <v>2284329.4249073928</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071"/>
      <c r="B27" s="1071"/>
      <c r="C27" s="107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20"/>
      <c r="B29" s="1020"/>
      <c r="C29" s="1020"/>
      <c r="D29" s="1020"/>
      <c r="E29" s="1020"/>
      <c r="F29" s="1020"/>
      <c r="G29" s="1020"/>
      <c r="H29" s="1020"/>
      <c r="I29" s="1020"/>
      <c r="J29" s="1020"/>
      <c r="K29" s="1020"/>
      <c r="L29" s="1020"/>
      <c r="M29" s="1020"/>
      <c r="N29" s="1020"/>
      <c r="O29" s="1020"/>
      <c r="P29" s="1020"/>
      <c r="Q29" s="1020"/>
      <c r="R29" s="102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072"/>
      <c r="B31" s="882"/>
      <c r="C31" s="1074" t="s">
        <v>347</v>
      </c>
      <c r="D31" s="1075"/>
      <c r="E31" s="1075"/>
      <c r="F31" s="1075"/>
      <c r="G31" s="1075"/>
      <c r="H31" s="1075"/>
      <c r="I31" s="1075"/>
      <c r="J31" s="1075"/>
      <c r="K31" s="1075"/>
      <c r="L31" s="1075"/>
      <c r="M31" s="1075"/>
      <c r="N31" s="1075"/>
      <c r="O31" s="1075"/>
      <c r="P31" s="1075"/>
      <c r="Q31" s="1075"/>
      <c r="R31" s="1076"/>
    </row>
    <row r="32" spans="1:19" ht="16.5" thickTop="1">
      <c r="A32" s="1073"/>
      <c r="B32" s="883"/>
      <c r="C32" s="1077" t="s">
        <v>21</v>
      </c>
      <c r="D32" s="1037" t="s">
        <v>232</v>
      </c>
      <c r="E32" s="1079" t="s">
        <v>197</v>
      </c>
      <c r="F32" s="1080"/>
      <c r="G32" s="1080"/>
      <c r="H32" s="1080"/>
      <c r="I32" s="1080"/>
      <c r="J32" s="1080"/>
      <c r="K32" s="1080"/>
      <c r="L32" s="1081"/>
      <c r="M32" s="1079" t="s">
        <v>198</v>
      </c>
      <c r="N32" s="1080"/>
      <c r="O32" s="1080"/>
      <c r="P32" s="1080"/>
      <c r="Q32" s="1080"/>
      <c r="R32" s="1021" t="s">
        <v>116</v>
      </c>
    </row>
    <row r="33" spans="1:18" ht="45.75" thickBot="1">
      <c r="A33" s="1073"/>
      <c r="B33" s="883"/>
      <c r="C33" s="1078"/>
      <c r="D33" s="104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2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42106.071902903081</v>
      </c>
      <c r="D36" s="718">
        <f ca="1">tertiair!C20</f>
        <v>0</v>
      </c>
      <c r="E36" s="718">
        <f ca="1">tertiair!D20</f>
        <v>44111.027823224169</v>
      </c>
      <c r="F36" s="718">
        <f>tertiair!E20</f>
        <v>421.85835380709909</v>
      </c>
      <c r="G36" s="718">
        <f ca="1">tertiair!F20</f>
        <v>8624.0542826170749</v>
      </c>
      <c r="H36" s="718">
        <f>tertiair!G20</f>
        <v>0</v>
      </c>
      <c r="I36" s="718">
        <f>tertiair!H20</f>
        <v>0</v>
      </c>
      <c r="J36" s="718">
        <f>tertiair!I20</f>
        <v>0</v>
      </c>
      <c r="K36" s="718">
        <f>tertiair!J20</f>
        <v>0.12612461582736859</v>
      </c>
      <c r="L36" s="718">
        <f>tertiair!K20</f>
        <v>0</v>
      </c>
      <c r="M36" s="718">
        <f ca="1">tertiair!L20</f>
        <v>0</v>
      </c>
      <c r="N36" s="718">
        <f>tertiair!M20</f>
        <v>0</v>
      </c>
      <c r="O36" s="718">
        <f ca="1">tertiair!N20</f>
        <v>0</v>
      </c>
      <c r="P36" s="718">
        <f>tertiair!O20</f>
        <v>0</v>
      </c>
      <c r="Q36" s="828">
        <f>tertiair!P20</f>
        <v>0</v>
      </c>
      <c r="R36" s="917">
        <f ca="1">SUM(C36:Q36)</f>
        <v>95263.138487167249</v>
      </c>
    </row>
    <row r="37" spans="1:18">
      <c r="A37" s="885" t="s">
        <v>225</v>
      </c>
      <c r="B37" s="892"/>
      <c r="C37" s="718">
        <f ca="1">huishoudens!B12</f>
        <v>24276.63624674956</v>
      </c>
      <c r="D37" s="718">
        <f ca="1">huishoudens!C12</f>
        <v>0</v>
      </c>
      <c r="E37" s="718">
        <f>huishoudens!D12</f>
        <v>78119.421459889301</v>
      </c>
      <c r="F37" s="718">
        <f>huishoudens!E12</f>
        <v>1687.1145248661662</v>
      </c>
      <c r="G37" s="718">
        <f>huishoudens!F12</f>
        <v>0</v>
      </c>
      <c r="H37" s="718">
        <f>huishoudens!G12</f>
        <v>0</v>
      </c>
      <c r="I37" s="718">
        <f>huishoudens!H12</f>
        <v>0</v>
      </c>
      <c r="J37" s="718">
        <f>huishoudens!I12</f>
        <v>0</v>
      </c>
      <c r="K37" s="718">
        <f>huishoudens!J12</f>
        <v>0</v>
      </c>
      <c r="L37" s="718">
        <f>huishoudens!K12</f>
        <v>0</v>
      </c>
      <c r="M37" s="718">
        <f>huishoudens!L12</f>
        <v>0</v>
      </c>
      <c r="N37" s="718">
        <f>huishoudens!M12</f>
        <v>0</v>
      </c>
      <c r="O37" s="718">
        <f>huishoudens!N12</f>
        <v>0</v>
      </c>
      <c r="P37" s="718">
        <f>huishoudens!O12</f>
        <v>0</v>
      </c>
      <c r="Q37" s="828">
        <f>huishoudens!P12</f>
        <v>0</v>
      </c>
      <c r="R37" s="917">
        <f ca="1">SUM(C37:Q37)</f>
        <v>104083.17223150503</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40084.850030184964</v>
      </c>
      <c r="D39" s="718">
        <f ca="1">industrie!C22</f>
        <v>0</v>
      </c>
      <c r="E39" s="718">
        <f>industrie!D22</f>
        <v>56247.541241355742</v>
      </c>
      <c r="F39" s="718">
        <f>industrie!E22</f>
        <v>2425.4352278286024</v>
      </c>
      <c r="G39" s="718">
        <f>industrie!F22</f>
        <v>9796.0329677892296</v>
      </c>
      <c r="H39" s="718">
        <f>industrie!G22</f>
        <v>0</v>
      </c>
      <c r="I39" s="718">
        <f>industrie!H22</f>
        <v>0</v>
      </c>
      <c r="J39" s="718">
        <f>industrie!I22</f>
        <v>0</v>
      </c>
      <c r="K39" s="718">
        <f>industrie!J22</f>
        <v>166.00252159758614</v>
      </c>
      <c r="L39" s="718">
        <f>industrie!K22</f>
        <v>0</v>
      </c>
      <c r="M39" s="718">
        <f>industrie!L22</f>
        <v>0</v>
      </c>
      <c r="N39" s="718">
        <f>industrie!M22</f>
        <v>0</v>
      </c>
      <c r="O39" s="718">
        <f>industrie!N22</f>
        <v>0</v>
      </c>
      <c r="P39" s="718">
        <f>industrie!O22</f>
        <v>0</v>
      </c>
      <c r="Q39" s="828">
        <f>industrie!P22</f>
        <v>0</v>
      </c>
      <c r="R39" s="918">
        <f ca="1">SUM(C39:Q39)</f>
        <v>108719.86198875614</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106467.55817983759</v>
      </c>
      <c r="D41" s="763">
        <f t="shared" ref="D41:R41" ca="1" si="4">SUM(D35:D40)</f>
        <v>0</v>
      </c>
      <c r="E41" s="763">
        <f t="shared" ca="1" si="4"/>
        <v>178477.99052446921</v>
      </c>
      <c r="F41" s="763">
        <f t="shared" si="4"/>
        <v>4534.4081065018672</v>
      </c>
      <c r="G41" s="763">
        <f t="shared" ca="1" si="4"/>
        <v>18420.087250406305</v>
      </c>
      <c r="H41" s="763">
        <f t="shared" si="4"/>
        <v>0</v>
      </c>
      <c r="I41" s="763">
        <f t="shared" si="4"/>
        <v>0</v>
      </c>
      <c r="J41" s="763">
        <f t="shared" si="4"/>
        <v>0</v>
      </c>
      <c r="K41" s="763">
        <f t="shared" si="4"/>
        <v>166.1286462134135</v>
      </c>
      <c r="L41" s="763">
        <f t="shared" si="4"/>
        <v>0</v>
      </c>
      <c r="M41" s="763">
        <f t="shared" ca="1" si="4"/>
        <v>0</v>
      </c>
      <c r="N41" s="763">
        <f t="shared" si="4"/>
        <v>0</v>
      </c>
      <c r="O41" s="763">
        <f t="shared" ca="1" si="4"/>
        <v>0</v>
      </c>
      <c r="P41" s="763">
        <f t="shared" si="4"/>
        <v>0</v>
      </c>
      <c r="Q41" s="764">
        <f t="shared" si="4"/>
        <v>0</v>
      </c>
      <c r="R41" s="765">
        <f t="shared" ca="1" si="4"/>
        <v>308066.17270742846</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2781.6775328653389</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2781.6775328653389</v>
      </c>
    </row>
    <row r="45" spans="1:18" ht="15" thickBot="1">
      <c r="A45" s="888" t="s">
        <v>307</v>
      </c>
      <c r="B45" s="898"/>
      <c r="C45" s="727">
        <f ca="1">transport!B18</f>
        <v>63.727409934168719</v>
      </c>
      <c r="D45" s="727">
        <f>transport!C18</f>
        <v>0</v>
      </c>
      <c r="E45" s="727">
        <f>transport!D18</f>
        <v>198.27410718829739</v>
      </c>
      <c r="F45" s="727">
        <f>transport!E18</f>
        <v>335.24163862705956</v>
      </c>
      <c r="G45" s="727">
        <f>transport!F18</f>
        <v>0</v>
      </c>
      <c r="H45" s="727">
        <f>transport!G18</f>
        <v>140366.50489455732</v>
      </c>
      <c r="I45" s="727">
        <f>transport!H18</f>
        <v>28213.481107083277</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169177.2291573901</v>
      </c>
    </row>
    <row r="46" spans="1:18" ht="15.75" thickBot="1">
      <c r="A46" s="886" t="s">
        <v>230</v>
      </c>
      <c r="B46" s="899"/>
      <c r="C46" s="763">
        <f t="shared" ref="C46:R46" ca="1" si="5">SUM(C43:C45)</f>
        <v>63.727409934168719</v>
      </c>
      <c r="D46" s="763">
        <f t="shared" ca="1" si="5"/>
        <v>0</v>
      </c>
      <c r="E46" s="763">
        <f t="shared" si="5"/>
        <v>198.27410718829739</v>
      </c>
      <c r="F46" s="763">
        <f t="shared" si="5"/>
        <v>335.24163862705956</v>
      </c>
      <c r="G46" s="763">
        <f t="shared" si="5"/>
        <v>0</v>
      </c>
      <c r="H46" s="763">
        <f t="shared" si="5"/>
        <v>143148.18242742267</v>
      </c>
      <c r="I46" s="763">
        <f t="shared" si="5"/>
        <v>28213.481107083277</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171958.90669025545</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196.51205818659321</v>
      </c>
      <c r="D48" s="718">
        <f ca="1">+landbouw!C12</f>
        <v>0</v>
      </c>
      <c r="E48" s="718">
        <f>+landbouw!D12</f>
        <v>4478.7192596198247</v>
      </c>
      <c r="F48" s="718">
        <f>+landbouw!E12</f>
        <v>6.1073492505068572</v>
      </c>
      <c r="G48" s="718">
        <f>+landbouw!F12</f>
        <v>1018.1390029232771</v>
      </c>
      <c r="H48" s="718">
        <f>+landbouw!G12</f>
        <v>0</v>
      </c>
      <c r="I48" s="718">
        <f>+landbouw!H12</f>
        <v>0</v>
      </c>
      <c r="J48" s="718">
        <f>+landbouw!I12</f>
        <v>0</v>
      </c>
      <c r="K48" s="718">
        <f>+landbouw!J12</f>
        <v>46.945012401388666</v>
      </c>
      <c r="L48" s="718">
        <f>+landbouw!K12</f>
        <v>0</v>
      </c>
      <c r="M48" s="718">
        <f>+landbouw!L12</f>
        <v>0</v>
      </c>
      <c r="N48" s="718">
        <f>+landbouw!M12</f>
        <v>0</v>
      </c>
      <c r="O48" s="718">
        <f>+landbouw!N12</f>
        <v>0</v>
      </c>
      <c r="P48" s="718">
        <f>+landbouw!O12</f>
        <v>0</v>
      </c>
      <c r="Q48" s="719">
        <f>+landbouw!P12</f>
        <v>0</v>
      </c>
      <c r="R48" s="761">
        <f ca="1">SUM(C48:Q48)</f>
        <v>5746.4226823815898</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052"/>
      <c r="D50" s="1053"/>
      <c r="E50" s="1053"/>
      <c r="F50" s="1053"/>
      <c r="G50" s="1053"/>
      <c r="H50" s="1053"/>
      <c r="I50" s="1053"/>
      <c r="J50" s="1053"/>
      <c r="K50" s="1053"/>
      <c r="L50" s="1053"/>
      <c r="M50" s="1053"/>
      <c r="N50" s="1053"/>
      <c r="O50" s="1053"/>
      <c r="P50" s="1053"/>
      <c r="Q50" s="1053"/>
      <c r="R50" s="770"/>
    </row>
    <row r="51" spans="1:18" ht="15">
      <c r="A51" s="890" t="s">
        <v>239</v>
      </c>
      <c r="B51" s="875"/>
      <c r="C51" s="1054"/>
      <c r="D51" s="1055"/>
      <c r="E51" s="1055"/>
      <c r="F51" s="1055"/>
      <c r="G51" s="1055"/>
      <c r="H51" s="1055"/>
      <c r="I51" s="1055"/>
      <c r="J51" s="1055"/>
      <c r="K51" s="1055"/>
      <c r="L51" s="1055"/>
      <c r="M51" s="1055"/>
      <c r="N51" s="1055"/>
      <c r="O51" s="1055"/>
      <c r="P51" s="1055"/>
      <c r="Q51" s="1055"/>
      <c r="R51" s="771"/>
    </row>
    <row r="52" spans="1:18" ht="15" thickBot="1">
      <c r="A52" s="902" t="s">
        <v>240</v>
      </c>
      <c r="B52" s="903"/>
      <c r="C52" s="1054"/>
      <c r="D52" s="1055"/>
      <c r="E52" s="1055"/>
      <c r="F52" s="1055"/>
      <c r="G52" s="1055"/>
      <c r="H52" s="1055"/>
      <c r="I52" s="1055"/>
      <c r="J52" s="1055"/>
      <c r="K52" s="1055"/>
      <c r="L52" s="1055"/>
      <c r="M52" s="1055"/>
      <c r="N52" s="1055"/>
      <c r="O52" s="1055"/>
      <c r="P52" s="1055"/>
      <c r="Q52" s="1055"/>
      <c r="R52" s="762"/>
    </row>
    <row r="53" spans="1:18" ht="16.5" thickBot="1">
      <c r="A53" s="906" t="s">
        <v>116</v>
      </c>
      <c r="B53" s="907"/>
      <c r="C53" s="772">
        <f ca="1">C41+C46+C48</f>
        <v>106727.79764795836</v>
      </c>
      <c r="D53" s="773">
        <f t="shared" ref="D53:Q53" ca="1" si="6">D41+D46+D48</f>
        <v>0</v>
      </c>
      <c r="E53" s="773">
        <f t="shared" ca="1" si="6"/>
        <v>183154.98389127734</v>
      </c>
      <c r="F53" s="773">
        <f t="shared" si="6"/>
        <v>4875.7570943794335</v>
      </c>
      <c r="G53" s="773">
        <f t="shared" ca="1" si="6"/>
        <v>19438.22625332958</v>
      </c>
      <c r="H53" s="773">
        <f t="shared" si="6"/>
        <v>143148.18242742267</v>
      </c>
      <c r="I53" s="773">
        <f t="shared" si="6"/>
        <v>28213.481107083277</v>
      </c>
      <c r="J53" s="773">
        <f t="shared" si="6"/>
        <v>0</v>
      </c>
      <c r="K53" s="773">
        <f t="shared" si="6"/>
        <v>213.07365861480218</v>
      </c>
      <c r="L53" s="773">
        <f t="shared" si="6"/>
        <v>0</v>
      </c>
      <c r="M53" s="773">
        <f t="shared" ca="1" si="6"/>
        <v>0</v>
      </c>
      <c r="N53" s="773">
        <f t="shared" si="6"/>
        <v>0</v>
      </c>
      <c r="O53" s="773">
        <f t="shared" ca="1" si="6"/>
        <v>0</v>
      </c>
      <c r="P53" s="773">
        <f>P41+P46+P48</f>
        <v>0</v>
      </c>
      <c r="Q53" s="774">
        <f t="shared" si="6"/>
        <v>0</v>
      </c>
      <c r="R53" s="775">
        <f ca="1">R41+R46+R48</f>
        <v>485771.50208006549</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0.21468763076343095</v>
      </c>
      <c r="D55" s="836">
        <f t="shared" ca="1" si="7"/>
        <v>0</v>
      </c>
      <c r="E55" s="836">
        <f t="shared" ca="1" si="7"/>
        <v>0.20200000000000001</v>
      </c>
      <c r="F55" s="836">
        <f t="shared" si="7"/>
        <v>0.22699999999999998</v>
      </c>
      <c r="G55" s="836">
        <f t="shared" ca="1" si="7"/>
        <v>0.26699999999999996</v>
      </c>
      <c r="H55" s="836">
        <f t="shared" si="7"/>
        <v>0.26700000000000007</v>
      </c>
      <c r="I55" s="836">
        <f t="shared" si="7"/>
        <v>0.249</v>
      </c>
      <c r="J55" s="836">
        <f t="shared" si="7"/>
        <v>0</v>
      </c>
      <c r="K55" s="836">
        <f t="shared" si="7"/>
        <v>0.35399999999999998</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20"/>
      <c r="B59" s="1020"/>
      <c r="C59" s="1020"/>
      <c r="D59" s="1020"/>
      <c r="E59" s="1020"/>
      <c r="F59" s="1020"/>
      <c r="G59" s="1020"/>
      <c r="H59" s="1020"/>
      <c r="I59" s="1020"/>
      <c r="J59" s="1020"/>
      <c r="K59" s="1020"/>
      <c r="L59" s="1020"/>
      <c r="M59" s="1020"/>
      <c r="N59" s="1020"/>
      <c r="O59" s="1020"/>
      <c r="P59" s="1020"/>
      <c r="Q59" s="102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21" t="s">
        <v>241</v>
      </c>
      <c r="B61" s="1035" t="s">
        <v>351</v>
      </c>
      <c r="C61" s="1027"/>
      <c r="D61" s="1024" t="s">
        <v>352</v>
      </c>
      <c r="E61" s="1025"/>
      <c r="F61" s="1025"/>
      <c r="G61" s="1025"/>
      <c r="H61" s="1025"/>
      <c r="I61" s="1025"/>
      <c r="J61" s="1025"/>
      <c r="K61" s="1025"/>
      <c r="L61" s="1025"/>
      <c r="M61" s="1026"/>
      <c r="N61" s="1027" t="s">
        <v>642</v>
      </c>
      <c r="O61" s="1060" t="s">
        <v>641</v>
      </c>
      <c r="P61" s="1061"/>
      <c r="Q61" s="785"/>
      <c r="R61" s="742"/>
    </row>
    <row r="62" spans="1:18" ht="31.5" thickTop="1" thickBot="1">
      <c r="A62" s="1022"/>
      <c r="B62" s="1059"/>
      <c r="C62" s="1029"/>
      <c r="D62" s="1056" t="s">
        <v>197</v>
      </c>
      <c r="E62" s="1057"/>
      <c r="F62" s="1057"/>
      <c r="G62" s="1057"/>
      <c r="H62" s="1058"/>
      <c r="I62" s="786" t="s">
        <v>245</v>
      </c>
      <c r="J62" s="787" t="s">
        <v>246</v>
      </c>
      <c r="K62" s="787" t="s">
        <v>234</v>
      </c>
      <c r="L62" s="787" t="s">
        <v>247</v>
      </c>
      <c r="M62" s="1041" t="s">
        <v>127</v>
      </c>
      <c r="N62" s="1028"/>
      <c r="O62" s="926"/>
      <c r="P62" s="927"/>
      <c r="Q62" s="785"/>
      <c r="R62" s="742"/>
    </row>
    <row r="63" spans="1:18" ht="95.25" customHeight="1" thickTop="1" thickBot="1">
      <c r="A63" s="1023"/>
      <c r="B63" s="854" t="s">
        <v>555</v>
      </c>
      <c r="C63" s="854" t="s">
        <v>640</v>
      </c>
      <c r="D63" s="788" t="s">
        <v>199</v>
      </c>
      <c r="E63" s="789" t="s">
        <v>200</v>
      </c>
      <c r="F63" s="790" t="s">
        <v>201</v>
      </c>
      <c r="G63" s="791" t="s">
        <v>203</v>
      </c>
      <c r="H63" s="792" t="s">
        <v>204</v>
      </c>
      <c r="I63" s="793"/>
      <c r="J63" s="789"/>
      <c r="K63" s="789"/>
      <c r="L63" s="789"/>
      <c r="M63" s="1065"/>
      <c r="N63" s="1029"/>
      <c r="O63" s="857" t="s">
        <v>643</v>
      </c>
      <c r="P63" s="855" t="s">
        <v>644</v>
      </c>
      <c r="Q63" s="785"/>
      <c r="R63" s="742"/>
    </row>
    <row r="64" spans="1:18" ht="15.75" thickTop="1">
      <c r="A64" s="794" t="s">
        <v>249</v>
      </c>
      <c r="B64" s="908">
        <f>'lokale energieproductie'!B4</f>
        <v>0</v>
      </c>
      <c r="C64" s="795">
        <f>'lokale energieproductie'!B4</f>
        <v>0</v>
      </c>
      <c r="D64" s="1066"/>
      <c r="E64" s="1043"/>
      <c r="F64" s="1043"/>
      <c r="G64" s="1046"/>
      <c r="H64" s="1049"/>
      <c r="I64" s="796"/>
      <c r="J64" s="796"/>
      <c r="K64" s="796"/>
      <c r="L64" s="796"/>
      <c r="M64" s="1062"/>
      <c r="N64" s="921">
        <v>0</v>
      </c>
      <c r="O64" s="928"/>
      <c r="P64" s="921">
        <v>0</v>
      </c>
      <c r="Q64" s="785"/>
      <c r="R64" s="783"/>
    </row>
    <row r="65" spans="1:18" ht="15">
      <c r="A65" s="797" t="s">
        <v>250</v>
      </c>
      <c r="B65" s="794">
        <f>'lokale energieproductie'!B5</f>
        <v>0</v>
      </c>
      <c r="C65" s="795">
        <f>'lokale energieproductie'!B5</f>
        <v>0</v>
      </c>
      <c r="D65" s="1067"/>
      <c r="E65" s="1044"/>
      <c r="F65" s="1044"/>
      <c r="G65" s="1047"/>
      <c r="H65" s="1050"/>
      <c r="I65" s="798"/>
      <c r="J65" s="798"/>
      <c r="K65" s="798"/>
      <c r="L65" s="798"/>
      <c r="M65" s="1063"/>
      <c r="N65" s="922">
        <v>0</v>
      </c>
      <c r="O65" s="928"/>
      <c r="P65" s="922">
        <v>0</v>
      </c>
      <c r="Q65" s="785"/>
      <c r="R65" s="748"/>
    </row>
    <row r="66" spans="1:18" ht="15">
      <c r="A66" s="797" t="s">
        <v>251</v>
      </c>
      <c r="B66" s="794">
        <f>'lokale energieproductie'!B6</f>
        <v>14199.421314304502</v>
      </c>
      <c r="C66" s="795">
        <f>'lokale energieproductie'!B6</f>
        <v>14199.421314304502</v>
      </c>
      <c r="D66" s="1068"/>
      <c r="E66" s="1045"/>
      <c r="F66" s="1045"/>
      <c r="G66" s="1048"/>
      <c r="H66" s="1051"/>
      <c r="I66" s="799"/>
      <c r="J66" s="799"/>
      <c r="K66" s="799"/>
      <c r="L66" s="799"/>
      <c r="M66" s="1064"/>
      <c r="N66" s="922">
        <v>0</v>
      </c>
      <c r="O66" s="928"/>
      <c r="P66" s="922">
        <v>0</v>
      </c>
      <c r="Q66" s="785"/>
      <c r="R66" s="783"/>
    </row>
    <row r="67" spans="1:18" ht="15">
      <c r="A67" s="800" t="s">
        <v>252</v>
      </c>
      <c r="B67" s="794">
        <f>'lokale energieproductie'!B7</f>
        <v>0</v>
      </c>
      <c r="C67" s="794">
        <f>B67*IFERROR(SUM(J67:L67)/SUM(D67:M67),0)</f>
        <v>0</v>
      </c>
      <c r="D67" s="826">
        <f>'lokale energieproductie'!C7</f>
        <v>0</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0</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14199.421314304502</v>
      </c>
      <c r="C69" s="803">
        <f>SUM(C64:C68)</f>
        <v>14199.421314304502</v>
      </c>
      <c r="D69" s="804">
        <f t="shared" ref="D69:M69" si="8">SUM(D67:D68)</f>
        <v>0</v>
      </c>
      <c r="E69" s="804">
        <f t="shared" si="8"/>
        <v>0</v>
      </c>
      <c r="F69" s="804">
        <f t="shared" si="8"/>
        <v>0</v>
      </c>
      <c r="G69" s="804">
        <f t="shared" si="8"/>
        <v>0</v>
      </c>
      <c r="H69" s="804">
        <f t="shared" si="8"/>
        <v>0</v>
      </c>
      <c r="I69" s="804">
        <f t="shared" si="8"/>
        <v>0</v>
      </c>
      <c r="J69" s="804">
        <f t="shared" si="8"/>
        <v>0</v>
      </c>
      <c r="K69" s="804">
        <f t="shared" si="8"/>
        <v>0</v>
      </c>
      <c r="L69" s="804">
        <f t="shared" si="8"/>
        <v>0</v>
      </c>
      <c r="M69" s="930">
        <f t="shared" si="8"/>
        <v>0</v>
      </c>
      <c r="N69" s="805">
        <v>0</v>
      </c>
      <c r="O69" s="805">
        <f>SUM(O67:O68)</f>
        <v>0</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20"/>
      <c r="B73" s="1020"/>
      <c r="C73" s="1020"/>
      <c r="D73" s="1020"/>
      <c r="E73" s="1020"/>
      <c r="F73" s="1020"/>
      <c r="G73" s="1020"/>
      <c r="H73" s="1020"/>
      <c r="I73" s="1020"/>
      <c r="J73" s="1020"/>
      <c r="K73" s="1020"/>
      <c r="L73" s="1020"/>
      <c r="M73" s="1020"/>
      <c r="N73" s="1020"/>
      <c r="O73" s="1020"/>
      <c r="P73" s="102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21" t="s">
        <v>253</v>
      </c>
      <c r="B75" s="1035" t="s">
        <v>355</v>
      </c>
      <c r="C75" s="1027"/>
      <c r="D75" s="1024" t="s">
        <v>356</v>
      </c>
      <c r="E75" s="1025"/>
      <c r="F75" s="1025"/>
      <c r="G75" s="1025"/>
      <c r="H75" s="1025"/>
      <c r="I75" s="1025"/>
      <c r="J75" s="1025"/>
      <c r="K75" s="1025"/>
      <c r="L75" s="1025"/>
      <c r="M75" s="1026"/>
      <c r="N75" s="1027" t="s">
        <v>642</v>
      </c>
      <c r="O75" s="1035" t="s">
        <v>641</v>
      </c>
      <c r="P75" s="1027"/>
      <c r="Q75" s="812"/>
      <c r="R75" s="742"/>
    </row>
    <row r="76" spans="1:18" ht="16.5" thickTop="1" thickBot="1">
      <c r="A76" s="1022"/>
      <c r="B76" s="1036"/>
      <c r="C76" s="1028"/>
      <c r="D76" s="1030" t="s">
        <v>197</v>
      </c>
      <c r="E76" s="1031"/>
      <c r="F76" s="1031"/>
      <c r="G76" s="1031"/>
      <c r="H76" s="1032"/>
      <c r="I76" s="1033" t="s">
        <v>245</v>
      </c>
      <c r="J76" s="1033" t="s">
        <v>246</v>
      </c>
      <c r="K76" s="1037" t="s">
        <v>234</v>
      </c>
      <c r="L76" s="1039" t="s">
        <v>257</v>
      </c>
      <c r="M76" s="1041" t="s">
        <v>127</v>
      </c>
      <c r="N76" s="1028"/>
      <c r="O76" s="926"/>
      <c r="P76" s="927"/>
      <c r="Q76" s="812"/>
      <c r="R76" s="742"/>
    </row>
    <row r="77" spans="1:18" ht="110.25" customHeight="1" thickTop="1" thickBot="1">
      <c r="A77" s="1023"/>
      <c r="B77" s="909" t="s">
        <v>555</v>
      </c>
      <c r="C77" s="909" t="s">
        <v>640</v>
      </c>
      <c r="D77" s="813" t="s">
        <v>199</v>
      </c>
      <c r="E77" s="789" t="s">
        <v>200</v>
      </c>
      <c r="F77" s="814" t="s">
        <v>201</v>
      </c>
      <c r="G77" s="789" t="s">
        <v>203</v>
      </c>
      <c r="H77" s="815" t="s">
        <v>204</v>
      </c>
      <c r="I77" s="1034"/>
      <c r="J77" s="1034"/>
      <c r="K77" s="1038"/>
      <c r="L77" s="1040"/>
      <c r="M77" s="1042"/>
      <c r="N77" s="1029"/>
      <c r="O77" s="857" t="s">
        <v>643</v>
      </c>
      <c r="P77" s="855" t="s">
        <v>644</v>
      </c>
      <c r="Q77" s="812"/>
      <c r="R77" s="742"/>
    </row>
    <row r="78" spans="1:18" ht="15.75" thickTop="1">
      <c r="A78" s="816" t="s">
        <v>252</v>
      </c>
      <c r="B78" s="817">
        <f>'lokale energieproductie'!B16</f>
        <v>0</v>
      </c>
      <c r="C78" s="817">
        <f>B78*IFERROR(SUM(I78:L78)/SUM(D78:M78),0)</f>
        <v>0</v>
      </c>
      <c r="D78" s="832">
        <f>'lokale energieproductie'!C16</f>
        <v>0</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0</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0</v>
      </c>
      <c r="C81" s="803">
        <f>SUM(C78:C80)</f>
        <v>0</v>
      </c>
      <c r="D81" s="803">
        <f t="shared" ref="D81:P81" si="9">SUM(D78:D80)</f>
        <v>0</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0</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5" sqref="D25"/>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099" t="s">
        <v>550</v>
      </c>
      <c r="B1" s="1100" t="s">
        <v>546</v>
      </c>
      <c r="C1" s="1100"/>
      <c r="D1" s="1100"/>
      <c r="E1" s="1100"/>
      <c r="F1" s="1100"/>
      <c r="G1" s="1100"/>
      <c r="H1" s="1100"/>
      <c r="I1" s="1100"/>
      <c r="J1" s="1100"/>
      <c r="K1" s="1100"/>
      <c r="L1" s="1100"/>
      <c r="M1" s="1100"/>
      <c r="N1" s="1100"/>
      <c r="O1" s="1100"/>
      <c r="P1" s="1101"/>
      <c r="Q1" s="475"/>
    </row>
    <row r="2" spans="1:17">
      <c r="A2" s="1099"/>
      <c r="B2" s="1102" t="s">
        <v>21</v>
      </c>
      <c r="C2" s="1104" t="s">
        <v>196</v>
      </c>
      <c r="D2" s="1106" t="s">
        <v>197</v>
      </c>
      <c r="E2" s="1107"/>
      <c r="F2" s="1107"/>
      <c r="G2" s="1107"/>
      <c r="H2" s="1107"/>
      <c r="I2" s="1107"/>
      <c r="J2" s="1107"/>
      <c r="K2" s="1103"/>
      <c r="L2" s="1106" t="s">
        <v>198</v>
      </c>
      <c r="M2" s="1107"/>
      <c r="N2" s="1107"/>
      <c r="O2" s="1107"/>
      <c r="P2" s="1103"/>
      <c r="Q2" s="475"/>
    </row>
    <row r="3" spans="1:17" ht="45">
      <c r="A3" s="1099"/>
      <c r="B3" s="1103"/>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113078.87725260017</v>
      </c>
      <c r="C4" s="478">
        <f>huishoudens!C8</f>
        <v>0</v>
      </c>
      <c r="D4" s="478">
        <f>huishoudens!D8</f>
        <v>386729.80920737277</v>
      </c>
      <c r="E4" s="478">
        <f>huishoudens!E8</f>
        <v>7432.2225765029343</v>
      </c>
      <c r="F4" s="478">
        <f>huishoudens!F8</f>
        <v>0</v>
      </c>
      <c r="G4" s="478">
        <f>huishoudens!G8</f>
        <v>0</v>
      </c>
      <c r="H4" s="478">
        <f>huishoudens!H8</f>
        <v>0</v>
      </c>
      <c r="I4" s="478">
        <f>huishoudens!I8</f>
        <v>0</v>
      </c>
      <c r="J4" s="478">
        <f>huishoudens!J8</f>
        <v>0</v>
      </c>
      <c r="K4" s="478">
        <f>huishoudens!K8</f>
        <v>0</v>
      </c>
      <c r="L4" s="478">
        <f>huishoudens!L8</f>
        <v>0</v>
      </c>
      <c r="M4" s="478">
        <f>huishoudens!M8</f>
        <v>0</v>
      </c>
      <c r="N4" s="478">
        <f>huishoudens!N8</f>
        <v>35125.526673233093</v>
      </c>
      <c r="O4" s="478">
        <f>huishoudens!O8</f>
        <v>637.84</v>
      </c>
      <c r="P4" s="479">
        <f>huishoudens!P8</f>
        <v>2345.1999999999998</v>
      </c>
      <c r="Q4" s="480">
        <f>SUM(B4:P4)</f>
        <v>545349.47570970887</v>
      </c>
    </row>
    <row r="5" spans="1:17">
      <c r="A5" s="477" t="s">
        <v>156</v>
      </c>
      <c r="B5" s="478">
        <f ca="1">tertiair!B16</f>
        <v>191868.05713575456</v>
      </c>
      <c r="C5" s="478">
        <f ca="1">tertiair!C16</f>
        <v>0</v>
      </c>
      <c r="D5" s="478">
        <f ca="1">tertiair!D16</f>
        <v>218371.42486744636</v>
      </c>
      <c r="E5" s="478">
        <f>tertiair!E16</f>
        <v>1858.4068449651943</v>
      </c>
      <c r="F5" s="478">
        <f ca="1">tertiair!F16</f>
        <v>32299.828773846719</v>
      </c>
      <c r="G5" s="478">
        <f>tertiair!G16</f>
        <v>0</v>
      </c>
      <c r="H5" s="478">
        <f>tertiair!H16</f>
        <v>0</v>
      </c>
      <c r="I5" s="478">
        <f>tertiair!I16</f>
        <v>0</v>
      </c>
      <c r="J5" s="478">
        <f>tertiair!J16</f>
        <v>0.35628422550104122</v>
      </c>
      <c r="K5" s="478">
        <f>tertiair!K16</f>
        <v>0</v>
      </c>
      <c r="L5" s="478">
        <f ca="1">tertiair!L16</f>
        <v>0</v>
      </c>
      <c r="M5" s="478">
        <f>tertiair!M16</f>
        <v>0</v>
      </c>
      <c r="N5" s="478">
        <f ca="1">tertiair!N16</f>
        <v>14254.667023675844</v>
      </c>
      <c r="O5" s="478">
        <f>tertiair!O16</f>
        <v>4.6900000000000004</v>
      </c>
      <c r="P5" s="479">
        <f>tertiair!P16</f>
        <v>228.8</v>
      </c>
      <c r="Q5" s="477">
        <f t="shared" ref="Q5:Q13" ca="1" si="0">SUM(B5:P5)</f>
        <v>458886.23092991416</v>
      </c>
    </row>
    <row r="6" spans="1:17">
      <c r="A6" s="477" t="s">
        <v>194</v>
      </c>
      <c r="B6" s="478">
        <f>'openbare verlichting'!B8</f>
        <v>4259.0870000000004</v>
      </c>
      <c r="C6" s="478"/>
      <c r="D6" s="478"/>
      <c r="E6" s="478"/>
      <c r="F6" s="478"/>
      <c r="G6" s="478"/>
      <c r="H6" s="478"/>
      <c r="I6" s="478"/>
      <c r="J6" s="478"/>
      <c r="K6" s="478"/>
      <c r="L6" s="478"/>
      <c r="M6" s="478"/>
      <c r="N6" s="478"/>
      <c r="O6" s="478"/>
      <c r="P6" s="479"/>
      <c r="Q6" s="477">
        <f t="shared" si="0"/>
        <v>4259.0870000000004</v>
      </c>
    </row>
    <row r="7" spans="1:17">
      <c r="A7" s="477" t="s">
        <v>112</v>
      </c>
      <c r="B7" s="478">
        <f>landbouw!B8</f>
        <v>915.33945149888098</v>
      </c>
      <c r="C7" s="478">
        <f>landbouw!C8</f>
        <v>0</v>
      </c>
      <c r="D7" s="478">
        <f>landbouw!D8</f>
        <v>22171.877522870418</v>
      </c>
      <c r="E7" s="478">
        <f>landbouw!E8</f>
        <v>26.904622248928884</v>
      </c>
      <c r="F7" s="478">
        <f>landbouw!F8</f>
        <v>3813.254692596543</v>
      </c>
      <c r="G7" s="478">
        <f>landbouw!G8</f>
        <v>0</v>
      </c>
      <c r="H7" s="478">
        <f>landbouw!H8</f>
        <v>0</v>
      </c>
      <c r="I7" s="478">
        <f>landbouw!I8</f>
        <v>0</v>
      </c>
      <c r="J7" s="478">
        <f>landbouw!J8</f>
        <v>132.61302938245387</v>
      </c>
      <c r="K7" s="478">
        <f>landbouw!K8</f>
        <v>0</v>
      </c>
      <c r="L7" s="478">
        <f>landbouw!L8</f>
        <v>0</v>
      </c>
      <c r="M7" s="478">
        <f>landbouw!M8</f>
        <v>0</v>
      </c>
      <c r="N7" s="478">
        <f>landbouw!N8</f>
        <v>0</v>
      </c>
      <c r="O7" s="478">
        <f>landbouw!O8</f>
        <v>0</v>
      </c>
      <c r="P7" s="479">
        <f>landbouw!P8</f>
        <v>0</v>
      </c>
      <c r="Q7" s="477">
        <f t="shared" si="0"/>
        <v>27059.989318597225</v>
      </c>
    </row>
    <row r="8" spans="1:17">
      <c r="A8" s="477" t="s">
        <v>635</v>
      </c>
      <c r="B8" s="478">
        <f>industrie!B18</f>
        <v>186712.43372355879</v>
      </c>
      <c r="C8" s="478">
        <f>industrie!C18</f>
        <v>0</v>
      </c>
      <c r="D8" s="478">
        <f>industrie!D18</f>
        <v>278453.17446215713</v>
      </c>
      <c r="E8" s="478">
        <f>industrie!E18</f>
        <v>10684.736686469614</v>
      </c>
      <c r="F8" s="478">
        <f>industrie!F18</f>
        <v>36689.262051645055</v>
      </c>
      <c r="G8" s="478">
        <f>industrie!G18</f>
        <v>0</v>
      </c>
      <c r="H8" s="478">
        <f>industrie!H18</f>
        <v>0</v>
      </c>
      <c r="I8" s="478">
        <f>industrie!I18</f>
        <v>0</v>
      </c>
      <c r="J8" s="478">
        <f>industrie!J18</f>
        <v>468.93367682933939</v>
      </c>
      <c r="K8" s="478">
        <f>industrie!K18</f>
        <v>0</v>
      </c>
      <c r="L8" s="478">
        <f>industrie!L18</f>
        <v>0</v>
      </c>
      <c r="M8" s="478">
        <f>industrie!M18</f>
        <v>0</v>
      </c>
      <c r="N8" s="478">
        <f>industrie!N18</f>
        <v>48898.231349753783</v>
      </c>
      <c r="O8" s="478">
        <f>industrie!O18</f>
        <v>0</v>
      </c>
      <c r="P8" s="479">
        <f>industrie!P18</f>
        <v>0</v>
      </c>
      <c r="Q8" s="477">
        <f t="shared" si="0"/>
        <v>561906.77195041371</v>
      </c>
    </row>
    <row r="9" spans="1:17" s="483" customFormat="1">
      <c r="A9" s="481" t="s">
        <v>561</v>
      </c>
      <c r="B9" s="482">
        <f>transport!B14</f>
        <v>296.83782762683404</v>
      </c>
      <c r="C9" s="482">
        <f>transport!C14</f>
        <v>0</v>
      </c>
      <c r="D9" s="482">
        <f>transport!D14</f>
        <v>981.55498608068012</v>
      </c>
      <c r="E9" s="482">
        <f>transport!E14</f>
        <v>1476.8354124540069</v>
      </c>
      <c r="F9" s="482">
        <f>transport!F14</f>
        <v>0</v>
      </c>
      <c r="G9" s="482">
        <f>transport!G14</f>
        <v>525717.24679609481</v>
      </c>
      <c r="H9" s="482">
        <f>transport!H14</f>
        <v>113307.15304049509</v>
      </c>
      <c r="I9" s="482">
        <f>transport!I14</f>
        <v>0</v>
      </c>
      <c r="J9" s="482">
        <f>transport!J14</f>
        <v>0</v>
      </c>
      <c r="K9" s="482">
        <f>transport!K14</f>
        <v>0</v>
      </c>
      <c r="L9" s="482">
        <f>transport!L14</f>
        <v>0</v>
      </c>
      <c r="M9" s="482">
        <f>transport!M14</f>
        <v>34078.262397415143</v>
      </c>
      <c r="N9" s="482">
        <f>transport!N14</f>
        <v>0</v>
      </c>
      <c r="O9" s="482">
        <f>transport!O14</f>
        <v>0</v>
      </c>
      <c r="P9" s="482">
        <f>transport!P14</f>
        <v>0</v>
      </c>
      <c r="Q9" s="481">
        <f>SUM(B9:P9)</f>
        <v>675857.89046016661</v>
      </c>
    </row>
    <row r="10" spans="1:17">
      <c r="A10" s="477" t="s">
        <v>551</v>
      </c>
      <c r="B10" s="478">
        <f>transport!B54</f>
        <v>0</v>
      </c>
      <c r="C10" s="478">
        <f>transport!C54</f>
        <v>0</v>
      </c>
      <c r="D10" s="478">
        <f>transport!D54</f>
        <v>0</v>
      </c>
      <c r="E10" s="478">
        <f>transport!E54</f>
        <v>0</v>
      </c>
      <c r="F10" s="478">
        <f>transport!F54</f>
        <v>0</v>
      </c>
      <c r="G10" s="478">
        <f>transport!G54</f>
        <v>10418.267913353329</v>
      </c>
      <c r="H10" s="478">
        <f>transport!H54</f>
        <v>0</v>
      </c>
      <c r="I10" s="478">
        <f>transport!I54</f>
        <v>0</v>
      </c>
      <c r="J10" s="478">
        <f>transport!J54</f>
        <v>0</v>
      </c>
      <c r="K10" s="478">
        <f>transport!K54</f>
        <v>0</v>
      </c>
      <c r="L10" s="478">
        <f>transport!L54</f>
        <v>0</v>
      </c>
      <c r="M10" s="478">
        <f>transport!M54</f>
        <v>591.71162523897067</v>
      </c>
      <c r="N10" s="478">
        <f>transport!N54</f>
        <v>0</v>
      </c>
      <c r="O10" s="478">
        <f>transport!O54</f>
        <v>0</v>
      </c>
      <c r="P10" s="479">
        <f>transport!P54</f>
        <v>0</v>
      </c>
      <c r="Q10" s="477">
        <f t="shared" si="0"/>
        <v>11009.979538592301</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f>'Eigen vloot'!C27</f>
        <v>0</v>
      </c>
      <c r="D13" s="485">
        <f>'Eigen vloot'!D27</f>
        <v>0</v>
      </c>
      <c r="E13" s="485">
        <f>'Eigen vloot'!E27</f>
        <v>0</v>
      </c>
      <c r="F13" s="485">
        <f>'Eigen vloot'!F27</f>
        <v>0</v>
      </c>
      <c r="G13" s="485">
        <f>'Eigen vloot'!G27</f>
        <v>0</v>
      </c>
      <c r="H13" s="485">
        <f>'Eigen vloot'!H27</f>
        <v>0</v>
      </c>
      <c r="I13" s="485">
        <f>'Eigen vloot'!I27</f>
        <v>0</v>
      </c>
      <c r="J13" s="485">
        <f>'Eigen vloot'!J27</f>
        <v>0</v>
      </c>
      <c r="K13" s="485">
        <f>'Eigen vloot'!K27</f>
        <v>0</v>
      </c>
      <c r="L13" s="485">
        <f>'Eigen vloot'!L27</f>
        <v>0</v>
      </c>
      <c r="M13" s="485">
        <f>'Eigen vloot'!M27</f>
        <v>0</v>
      </c>
      <c r="N13" s="485">
        <f>'Eigen vloot'!N27</f>
        <v>0</v>
      </c>
      <c r="O13" s="485">
        <f>'Eigen vloot'!O27</f>
        <v>0</v>
      </c>
      <c r="P13" s="486">
        <f>'Eigen vloot'!P27</f>
        <v>0</v>
      </c>
      <c r="Q13" s="484">
        <f t="shared" si="0"/>
        <v>0</v>
      </c>
    </row>
    <row r="14" spans="1:17" s="490" customFormat="1">
      <c r="A14" s="487" t="s">
        <v>555</v>
      </c>
      <c r="B14" s="488">
        <f ca="1">SUM(B4:B13)</f>
        <v>497130.63239103922</v>
      </c>
      <c r="C14" s="488">
        <f t="shared" ref="C14:Q14" ca="1" si="1">SUM(C4:C13)</f>
        <v>0</v>
      </c>
      <c r="D14" s="488">
        <f t="shared" ca="1" si="1"/>
        <v>906707.84104592737</v>
      </c>
      <c r="E14" s="488">
        <f t="shared" si="1"/>
        <v>21479.106142640678</v>
      </c>
      <c r="F14" s="488">
        <f t="shared" ca="1" si="1"/>
        <v>72802.345518088317</v>
      </c>
      <c r="G14" s="488">
        <f t="shared" si="1"/>
        <v>536135.51470944809</v>
      </c>
      <c r="H14" s="488">
        <f t="shared" si="1"/>
        <v>113307.15304049509</v>
      </c>
      <c r="I14" s="488">
        <f t="shared" si="1"/>
        <v>0</v>
      </c>
      <c r="J14" s="488">
        <f t="shared" si="1"/>
        <v>601.90299043729431</v>
      </c>
      <c r="K14" s="488">
        <f t="shared" si="1"/>
        <v>0</v>
      </c>
      <c r="L14" s="488">
        <f t="shared" ca="1" si="1"/>
        <v>0</v>
      </c>
      <c r="M14" s="488">
        <f t="shared" si="1"/>
        <v>34669.974022654111</v>
      </c>
      <c r="N14" s="488">
        <f t="shared" ca="1" si="1"/>
        <v>98278.425046662713</v>
      </c>
      <c r="O14" s="488">
        <f t="shared" si="1"/>
        <v>642.53000000000009</v>
      </c>
      <c r="P14" s="489">
        <f t="shared" si="1"/>
        <v>2574</v>
      </c>
      <c r="Q14" s="489">
        <f t="shared" ca="1" si="1"/>
        <v>2284329.4249073933</v>
      </c>
    </row>
    <row r="16" spans="1:17">
      <c r="A16" s="491" t="s">
        <v>556</v>
      </c>
      <c r="B16" s="841">
        <f ca="1">huishoudens!B10</f>
        <v>0.21468763076343098</v>
      </c>
      <c r="C16" s="841">
        <f ca="1">huishoudens!C10</f>
        <v>0</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099" t="s">
        <v>558</v>
      </c>
      <c r="B18" s="1100" t="s">
        <v>557</v>
      </c>
      <c r="C18" s="1100"/>
      <c r="D18" s="1100"/>
      <c r="E18" s="1100"/>
      <c r="F18" s="1100"/>
      <c r="G18" s="1100"/>
      <c r="H18" s="1100"/>
      <c r="I18" s="1100"/>
      <c r="J18" s="1100"/>
      <c r="K18" s="1100"/>
      <c r="L18" s="1100"/>
      <c r="M18" s="1100"/>
      <c r="N18" s="1100"/>
      <c r="O18" s="1100"/>
      <c r="P18" s="1101"/>
      <c r="Q18" s="475"/>
    </row>
    <row r="19" spans="1:17" ht="15" customHeight="1">
      <c r="A19" s="1099"/>
      <c r="B19" s="1102" t="s">
        <v>21</v>
      </c>
      <c r="C19" s="1104" t="s">
        <v>196</v>
      </c>
      <c r="D19" s="1106" t="s">
        <v>197</v>
      </c>
      <c r="E19" s="1107"/>
      <c r="F19" s="1107"/>
      <c r="G19" s="1107"/>
      <c r="H19" s="1107"/>
      <c r="I19" s="1107"/>
      <c r="J19" s="1107"/>
      <c r="K19" s="1103"/>
      <c r="L19" s="1106" t="s">
        <v>198</v>
      </c>
      <c r="M19" s="1107"/>
      <c r="N19" s="1107"/>
      <c r="O19" s="1107"/>
      <c r="P19" s="1103"/>
      <c r="Q19" s="475"/>
    </row>
    <row r="20" spans="1:17" ht="45">
      <c r="A20" s="1099"/>
      <c r="B20" s="1103"/>
      <c r="C20" s="110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24276.63624674956</v>
      </c>
      <c r="C21" s="478">
        <f t="shared" ref="C21:C30" ca="1" si="3">C4*$C$16</f>
        <v>0</v>
      </c>
      <c r="D21" s="478">
        <f t="shared" ref="D21:D30" si="4">D4*$D$16</f>
        <v>78119.421459889301</v>
      </c>
      <c r="E21" s="478">
        <f t="shared" ref="E21:E30" si="5">E4*$E$16</f>
        <v>1687.1145248661662</v>
      </c>
      <c r="F21" s="478">
        <f t="shared" ref="F21:F30" si="6">F4*$F$16</f>
        <v>0</v>
      </c>
      <c r="G21" s="478">
        <f t="shared" ref="G21:G30" si="7">G4*$G$16</f>
        <v>0</v>
      </c>
      <c r="H21" s="478">
        <f t="shared" ref="H21:H30" si="8">H4*$H$16</f>
        <v>0</v>
      </c>
      <c r="I21" s="478">
        <f t="shared" ref="I21:I30" si="9">I4*$I$16</f>
        <v>0</v>
      </c>
      <c r="J21" s="478">
        <f t="shared" ref="J21:J30" si="10">J4*$J$16</f>
        <v>0</v>
      </c>
      <c r="K21" s="478">
        <f t="shared" ref="K21:K30" si="11">K4*$K$16</f>
        <v>0</v>
      </c>
      <c r="L21" s="478">
        <f t="shared" ref="L21:L30" si="12">L4*$L$16</f>
        <v>0</v>
      </c>
      <c r="M21" s="478">
        <f t="shared" ref="M21:M30" si="13">M4*$M$16</f>
        <v>0</v>
      </c>
      <c r="N21" s="478">
        <f t="shared" ref="N21:N30" si="14">N4*$N$16</f>
        <v>0</v>
      </c>
      <c r="O21" s="478">
        <f t="shared" ref="O21:O30" si="15">O4*$O$16</f>
        <v>0</v>
      </c>
      <c r="P21" s="492">
        <f t="shared" ref="P21:P30" si="16">P4*$P$16</f>
        <v>0</v>
      </c>
      <c r="Q21" s="480">
        <f ca="1">SUM(B21:P21)</f>
        <v>104083.17223150503</v>
      </c>
    </row>
    <row r="22" spans="1:17">
      <c r="A22" s="477" t="s">
        <v>156</v>
      </c>
      <c r="B22" s="478">
        <f t="shared" ca="1" si="2"/>
        <v>41191.698605657752</v>
      </c>
      <c r="C22" s="478">
        <f t="shared" ca="1" si="3"/>
        <v>0</v>
      </c>
      <c r="D22" s="478">
        <f t="shared" ca="1" si="4"/>
        <v>44111.027823224169</v>
      </c>
      <c r="E22" s="478">
        <f t="shared" si="5"/>
        <v>421.85835380709909</v>
      </c>
      <c r="F22" s="478">
        <f t="shared" ca="1" si="6"/>
        <v>8624.0542826170749</v>
      </c>
      <c r="G22" s="478">
        <f t="shared" si="7"/>
        <v>0</v>
      </c>
      <c r="H22" s="478">
        <f t="shared" si="8"/>
        <v>0</v>
      </c>
      <c r="I22" s="478">
        <f t="shared" si="9"/>
        <v>0</v>
      </c>
      <c r="J22" s="478">
        <f t="shared" si="10"/>
        <v>0.12612461582736859</v>
      </c>
      <c r="K22" s="478">
        <f t="shared" si="11"/>
        <v>0</v>
      </c>
      <c r="L22" s="478">
        <f t="shared" ca="1" si="12"/>
        <v>0</v>
      </c>
      <c r="M22" s="478">
        <f t="shared" si="13"/>
        <v>0</v>
      </c>
      <c r="N22" s="478">
        <f t="shared" ca="1" si="14"/>
        <v>0</v>
      </c>
      <c r="O22" s="478">
        <f t="shared" si="15"/>
        <v>0</v>
      </c>
      <c r="P22" s="479">
        <f t="shared" si="16"/>
        <v>0</v>
      </c>
      <c r="Q22" s="477">
        <f t="shared" ref="Q22:Q30" ca="1" si="17">SUM(B22:P22)</f>
        <v>94348.76518992192</v>
      </c>
    </row>
    <row r="23" spans="1:17">
      <c r="A23" s="477" t="s">
        <v>194</v>
      </c>
      <c r="B23" s="478">
        <f t="shared" ca="1" si="2"/>
        <v>914.37329724532901</v>
      </c>
      <c r="C23" s="478">
        <f t="shared" ca="1" si="3"/>
        <v>0</v>
      </c>
      <c r="D23" s="478">
        <f t="shared" si="4"/>
        <v>0</v>
      </c>
      <c r="E23" s="478">
        <f t="shared" si="5"/>
        <v>0</v>
      </c>
      <c r="F23" s="478">
        <f t="shared" si="6"/>
        <v>0</v>
      </c>
      <c r="G23" s="478">
        <f t="shared" si="7"/>
        <v>0</v>
      </c>
      <c r="H23" s="478">
        <f t="shared" si="8"/>
        <v>0</v>
      </c>
      <c r="I23" s="478">
        <f t="shared" si="9"/>
        <v>0</v>
      </c>
      <c r="J23" s="478">
        <f t="shared" si="10"/>
        <v>0</v>
      </c>
      <c r="K23" s="478">
        <f t="shared" si="11"/>
        <v>0</v>
      </c>
      <c r="L23" s="478">
        <f t="shared" si="12"/>
        <v>0</v>
      </c>
      <c r="M23" s="478">
        <f t="shared" si="13"/>
        <v>0</v>
      </c>
      <c r="N23" s="478">
        <f t="shared" si="14"/>
        <v>0</v>
      </c>
      <c r="O23" s="478">
        <f t="shared" si="15"/>
        <v>0</v>
      </c>
      <c r="P23" s="479">
        <f t="shared" si="16"/>
        <v>0</v>
      </c>
      <c r="Q23" s="477">
        <f t="shared" ca="1" si="17"/>
        <v>914.37329724532901</v>
      </c>
    </row>
    <row r="24" spans="1:17">
      <c r="A24" s="477" t="s">
        <v>112</v>
      </c>
      <c r="B24" s="478">
        <f t="shared" ca="1" si="2"/>
        <v>196.51205818659321</v>
      </c>
      <c r="C24" s="478">
        <f t="shared" ca="1" si="3"/>
        <v>0</v>
      </c>
      <c r="D24" s="478">
        <f t="shared" si="4"/>
        <v>4478.7192596198247</v>
      </c>
      <c r="E24" s="478">
        <f t="shared" si="5"/>
        <v>6.1073492505068572</v>
      </c>
      <c r="F24" s="478">
        <f t="shared" si="6"/>
        <v>1018.1390029232771</v>
      </c>
      <c r="G24" s="478">
        <f t="shared" si="7"/>
        <v>0</v>
      </c>
      <c r="H24" s="478">
        <f t="shared" si="8"/>
        <v>0</v>
      </c>
      <c r="I24" s="478">
        <f t="shared" si="9"/>
        <v>0</v>
      </c>
      <c r="J24" s="478">
        <f t="shared" si="10"/>
        <v>46.945012401388666</v>
      </c>
      <c r="K24" s="478">
        <f t="shared" si="11"/>
        <v>0</v>
      </c>
      <c r="L24" s="478">
        <f t="shared" si="12"/>
        <v>0</v>
      </c>
      <c r="M24" s="478">
        <f t="shared" si="13"/>
        <v>0</v>
      </c>
      <c r="N24" s="478">
        <f t="shared" si="14"/>
        <v>0</v>
      </c>
      <c r="O24" s="478">
        <f t="shared" si="15"/>
        <v>0</v>
      </c>
      <c r="P24" s="479">
        <f t="shared" si="16"/>
        <v>0</v>
      </c>
      <c r="Q24" s="477">
        <f t="shared" ca="1" si="17"/>
        <v>5746.4226823815898</v>
      </c>
    </row>
    <row r="25" spans="1:17">
      <c r="A25" s="477" t="s">
        <v>635</v>
      </c>
      <c r="B25" s="478">
        <f t="shared" ca="1" si="2"/>
        <v>40084.850030184964</v>
      </c>
      <c r="C25" s="478">
        <f t="shared" ca="1" si="3"/>
        <v>0</v>
      </c>
      <c r="D25" s="478">
        <f t="shared" si="4"/>
        <v>56247.541241355742</v>
      </c>
      <c r="E25" s="478">
        <f t="shared" si="5"/>
        <v>2425.4352278286024</v>
      </c>
      <c r="F25" s="478">
        <f t="shared" si="6"/>
        <v>9796.0329677892296</v>
      </c>
      <c r="G25" s="478">
        <f t="shared" si="7"/>
        <v>0</v>
      </c>
      <c r="H25" s="478">
        <f t="shared" si="8"/>
        <v>0</v>
      </c>
      <c r="I25" s="478">
        <f t="shared" si="9"/>
        <v>0</v>
      </c>
      <c r="J25" s="478">
        <f t="shared" si="10"/>
        <v>166.00252159758614</v>
      </c>
      <c r="K25" s="478">
        <f t="shared" si="11"/>
        <v>0</v>
      </c>
      <c r="L25" s="478">
        <f t="shared" si="12"/>
        <v>0</v>
      </c>
      <c r="M25" s="478">
        <f t="shared" si="13"/>
        <v>0</v>
      </c>
      <c r="N25" s="478">
        <f t="shared" si="14"/>
        <v>0</v>
      </c>
      <c r="O25" s="478">
        <f t="shared" si="15"/>
        <v>0</v>
      </c>
      <c r="P25" s="479">
        <f t="shared" si="16"/>
        <v>0</v>
      </c>
      <c r="Q25" s="477">
        <f t="shared" ca="1" si="17"/>
        <v>108719.86198875614</v>
      </c>
    </row>
    <row r="26" spans="1:17" s="483" customFormat="1">
      <c r="A26" s="481" t="s">
        <v>561</v>
      </c>
      <c r="B26" s="835">
        <f t="shared" ca="1" si="2"/>
        <v>63.727409934168719</v>
      </c>
      <c r="C26" s="482">
        <f t="shared" ca="1" si="3"/>
        <v>0</v>
      </c>
      <c r="D26" s="482">
        <f t="shared" si="4"/>
        <v>198.27410718829739</v>
      </c>
      <c r="E26" s="482">
        <f t="shared" si="5"/>
        <v>335.24163862705956</v>
      </c>
      <c r="F26" s="482">
        <f t="shared" si="6"/>
        <v>0</v>
      </c>
      <c r="G26" s="482">
        <f t="shared" si="7"/>
        <v>140366.50489455732</v>
      </c>
      <c r="H26" s="482">
        <f t="shared" si="8"/>
        <v>28213.481107083277</v>
      </c>
      <c r="I26" s="482">
        <f t="shared" si="9"/>
        <v>0</v>
      </c>
      <c r="J26" s="482">
        <f t="shared" si="10"/>
        <v>0</v>
      </c>
      <c r="K26" s="482">
        <f t="shared" si="11"/>
        <v>0</v>
      </c>
      <c r="L26" s="482">
        <f t="shared" si="12"/>
        <v>0</v>
      </c>
      <c r="M26" s="482">
        <f t="shared" si="13"/>
        <v>0</v>
      </c>
      <c r="N26" s="482">
        <f t="shared" si="14"/>
        <v>0</v>
      </c>
      <c r="O26" s="482">
        <f t="shared" si="15"/>
        <v>0</v>
      </c>
      <c r="P26" s="493">
        <f t="shared" si="16"/>
        <v>0</v>
      </c>
      <c r="Q26" s="481">
        <f t="shared" ca="1" si="17"/>
        <v>169177.2291573901</v>
      </c>
    </row>
    <row r="27" spans="1:17">
      <c r="A27" s="477" t="s">
        <v>551</v>
      </c>
      <c r="B27" s="478">
        <f t="shared" ca="1" si="2"/>
        <v>0</v>
      </c>
      <c r="C27" s="478">
        <f t="shared" ca="1" si="3"/>
        <v>0</v>
      </c>
      <c r="D27" s="478">
        <f t="shared" si="4"/>
        <v>0</v>
      </c>
      <c r="E27" s="478">
        <f t="shared" si="5"/>
        <v>0</v>
      </c>
      <c r="F27" s="478">
        <f t="shared" si="6"/>
        <v>0</v>
      </c>
      <c r="G27" s="478">
        <f t="shared" si="7"/>
        <v>2781.6775328653389</v>
      </c>
      <c r="H27" s="478">
        <f t="shared" si="8"/>
        <v>0</v>
      </c>
      <c r="I27" s="478">
        <f t="shared" si="9"/>
        <v>0</v>
      </c>
      <c r="J27" s="478">
        <f t="shared" si="10"/>
        <v>0</v>
      </c>
      <c r="K27" s="478">
        <f t="shared" si="11"/>
        <v>0</v>
      </c>
      <c r="L27" s="478">
        <f t="shared" si="12"/>
        <v>0</v>
      </c>
      <c r="M27" s="478">
        <f t="shared" si="13"/>
        <v>0</v>
      </c>
      <c r="N27" s="478">
        <f t="shared" si="14"/>
        <v>0</v>
      </c>
      <c r="O27" s="478">
        <f t="shared" si="15"/>
        <v>0</v>
      </c>
      <c r="P27" s="479">
        <f t="shared" si="16"/>
        <v>0</v>
      </c>
      <c r="Q27" s="477">
        <f t="shared" ca="1" si="17"/>
        <v>2781.6775328653389</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84" t="s">
        <v>554</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s="490" customFormat="1">
      <c r="A31" s="487" t="s">
        <v>555</v>
      </c>
      <c r="B31" s="488">
        <f t="shared" ref="B31:Q31" ca="1" si="18">SUM(B21:B30)</f>
        <v>106727.79764795837</v>
      </c>
      <c r="C31" s="488">
        <f t="shared" ca="1" si="18"/>
        <v>0</v>
      </c>
      <c r="D31" s="488">
        <f t="shared" ca="1" si="18"/>
        <v>183154.98389127734</v>
      </c>
      <c r="E31" s="488">
        <f t="shared" si="18"/>
        <v>4875.7570943794344</v>
      </c>
      <c r="F31" s="488">
        <f t="shared" ca="1" si="18"/>
        <v>19438.22625332958</v>
      </c>
      <c r="G31" s="488">
        <f t="shared" si="18"/>
        <v>143148.18242742267</v>
      </c>
      <c r="H31" s="488">
        <f t="shared" si="18"/>
        <v>28213.481107083277</v>
      </c>
      <c r="I31" s="488">
        <f t="shared" si="18"/>
        <v>0</v>
      </c>
      <c r="J31" s="488">
        <f t="shared" si="18"/>
        <v>213.07365861480218</v>
      </c>
      <c r="K31" s="488">
        <f t="shared" si="18"/>
        <v>0</v>
      </c>
      <c r="L31" s="488">
        <f t="shared" ca="1" si="18"/>
        <v>0</v>
      </c>
      <c r="M31" s="488">
        <f t="shared" si="18"/>
        <v>0</v>
      </c>
      <c r="N31" s="488">
        <f t="shared" ca="1" si="18"/>
        <v>0</v>
      </c>
      <c r="O31" s="488">
        <f t="shared" si="18"/>
        <v>0</v>
      </c>
      <c r="P31" s="489">
        <f t="shared" si="18"/>
        <v>0</v>
      </c>
      <c r="Q31" s="489">
        <f t="shared" ca="1" si="18"/>
        <v>485771.50208006543</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0.21468763076343098</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0</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14"/>
      <c r="P13" s="1114"/>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0.21468763076343098</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099" t="s">
        <v>328</v>
      </c>
      <c r="B1" s="1108" t="s">
        <v>195</v>
      </c>
      <c r="C1" s="1109"/>
      <c r="D1" s="1109"/>
      <c r="E1" s="1109"/>
      <c r="F1" s="1109"/>
      <c r="G1" s="1109"/>
      <c r="H1" s="1109"/>
      <c r="I1" s="1109"/>
      <c r="J1" s="1109"/>
      <c r="K1" s="1109"/>
      <c r="L1" s="1109"/>
      <c r="M1" s="1109"/>
      <c r="N1" s="1109"/>
      <c r="O1" s="1109"/>
      <c r="P1" s="1109"/>
    </row>
    <row r="2" spans="1:16" ht="15" customHeight="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0.21468763076343098</v>
      </c>
      <c r="C29" s="529">
        <f ca="1">'EF ele_warmte'!B22</f>
        <v>0</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15"/>
      <c r="K10" s="58"/>
    </row>
    <row r="11" spans="1:11" s="43" customFormat="1">
      <c r="A11" s="44" t="s">
        <v>565</v>
      </c>
      <c r="B11" s="47"/>
      <c r="D11" s="142" t="s">
        <v>392</v>
      </c>
      <c r="I11" s="1115"/>
      <c r="K11" s="58"/>
    </row>
    <row r="12" spans="1:11" s="43" customFormat="1">
      <c r="A12" s="44" t="s">
        <v>566</v>
      </c>
      <c r="B12" s="47"/>
      <c r="D12" s="142" t="s">
        <v>392</v>
      </c>
      <c r="I12" s="1115"/>
      <c r="K12" s="58"/>
    </row>
    <row r="13" spans="1:11" s="43" customFormat="1">
      <c r="A13" s="44"/>
      <c r="B13" s="478"/>
      <c r="D13" s="96"/>
      <c r="I13" s="1115"/>
    </row>
    <row r="14" spans="1:11" s="43" customFormat="1">
      <c r="A14" s="304" t="s">
        <v>563</v>
      </c>
      <c r="B14" s="531"/>
      <c r="C14" s="141" t="s">
        <v>182</v>
      </c>
      <c r="D14" s="144" t="s">
        <v>391</v>
      </c>
      <c r="I14" s="1115"/>
    </row>
    <row r="15" spans="1:11" s="43" customFormat="1">
      <c r="A15" s="44" t="s">
        <v>71</v>
      </c>
      <c r="B15" s="47"/>
      <c r="D15" s="142" t="s">
        <v>392</v>
      </c>
      <c r="I15" s="1115"/>
      <c r="J15" s="1115"/>
    </row>
    <row r="16" spans="1:11" s="43" customFormat="1">
      <c r="A16" s="44" t="s">
        <v>527</v>
      </c>
      <c r="B16" s="47"/>
      <c r="D16" s="142" t="s">
        <v>392</v>
      </c>
      <c r="I16" s="1115"/>
      <c r="J16" s="1115"/>
    </row>
    <row r="17" spans="1:11" s="43" customFormat="1">
      <c r="A17" s="44" t="s">
        <v>78</v>
      </c>
      <c r="B17" s="47"/>
      <c r="D17" s="142" t="s">
        <v>392</v>
      </c>
      <c r="I17" s="1115"/>
      <c r="J17" s="1115"/>
    </row>
    <row r="18" spans="1:11" s="43" customFormat="1">
      <c r="A18" s="44" t="s">
        <v>528</v>
      </c>
      <c r="B18" s="47"/>
      <c r="D18" s="142" t="s">
        <v>392</v>
      </c>
      <c r="I18" s="1115"/>
      <c r="J18" s="1115"/>
      <c r="K18" s="58"/>
    </row>
    <row r="19" spans="1:11" s="43" customFormat="1">
      <c r="A19" s="44" t="s">
        <v>77</v>
      </c>
      <c r="B19" s="47"/>
      <c r="D19" s="142" t="s">
        <v>392</v>
      </c>
      <c r="I19" s="1115"/>
      <c r="J19" s="1116"/>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15"/>
      <c r="J35" s="1115"/>
    </row>
    <row r="36" spans="1:11" s="43" customFormat="1">
      <c r="A36" s="466" t="s">
        <v>527</v>
      </c>
      <c r="B36" s="47"/>
      <c r="D36" s="142" t="s">
        <v>392</v>
      </c>
      <c r="I36" s="1115"/>
      <c r="J36" s="1115"/>
    </row>
    <row r="37" spans="1:11" s="43" customFormat="1">
      <c r="A37" s="466" t="s">
        <v>78</v>
      </c>
      <c r="B37" s="47"/>
      <c r="D37" s="142" t="s">
        <v>392</v>
      </c>
      <c r="I37" s="1115"/>
      <c r="J37" s="1115"/>
    </row>
    <row r="38" spans="1:11" s="43" customFormat="1">
      <c r="A38" s="466" t="s">
        <v>528</v>
      </c>
      <c r="B38" s="47"/>
      <c r="D38" s="142" t="s">
        <v>392</v>
      </c>
      <c r="I38" s="1115"/>
      <c r="J38" s="1115"/>
      <c r="K38" s="58"/>
    </row>
    <row r="39" spans="1:11" s="43" customFormat="1">
      <c r="A39" s="466" t="s">
        <v>77</v>
      </c>
      <c r="B39" s="47"/>
      <c r="D39" s="142" t="s">
        <v>392</v>
      </c>
      <c r="I39" s="1115"/>
      <c r="J39" s="1116"/>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217</vt:i4>
      </vt:variant>
    </vt:vector>
  </HeadingPairs>
  <TitlesOfParts>
    <vt:vector size="250" baseType="lpstr">
      <vt:lpstr>LEGENDE</vt:lpstr>
      <vt:lpstr>OUTPUT--&gt;</vt:lpstr>
      <vt:lpstr>SEAP template</vt:lpstr>
      <vt:lpstr>Inventaris 2016</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2018-09-06T12:46:07Z</dcterms:modified>
</cp:coreProperties>
</file>