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C28" l="1"/>
  <c r="C31" s="1"/>
  <c r="C22"/>
  <c r="R13" i="14"/>
  <c r="R15" s="1"/>
  <c r="R23" s="1"/>
  <c r="C25"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<sst xmlns="http://schemas.openxmlformats.org/spreadsheetml/2006/main" count="2010" uniqueCount="854">
  <si>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</si>
  <si>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</si>
  <si>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</si>
  <si>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</si>
  <si>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</si>
  <si>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</si>
  <si>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</si>
  <si>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</si>
  <si>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</si>
  <si>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</si>
  <si>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</si>
  <si>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</si>
  <si>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</si>
  <si>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</si>
  <si>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</si>
  <si>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</si>
  <si>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</si>
  <si>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</si>
  <si>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</si>
  <si>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</si>
  <si>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</si>
  <si>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</si>
  <si>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</si>
  <si>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</si>
  <si>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</si>
  <si>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</si>
  <si>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</si>
  <si>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</si>
  <si>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</si>
  <si>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</si>
  <si>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</si>
  <si>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</si>
  <si>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</si>
  <si>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</si>
  <si>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</si>
  <si>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</si>
  <si>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</si>
  <si>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</si>
  <si>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</si>
  <si>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</si>
  <si>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</si>
  <si>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</si>
  <si>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</si>
  <si>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</si>
  <si>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</si>
  <si>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</si>
  <si>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</si>
  <si>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</si>
  <si>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</si>
  <si>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</si>
  <si>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</si>
  <si>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</si>
  <si>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</si>
  <si>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</si>
  <si>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</si>
  <si>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</si>
  <si>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</si>
  <si>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</si>
  <si>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</si>
  <si>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</si>
  <si>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</si>
  <si>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</si>
  <si>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</si>
  <si>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</si>
  <si>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</si>
  <si>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</si>
  <si>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</si>
  <si>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</si>
  <si>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</si>
  <si>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</si>
  <si>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</si>
  <si>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</si>
  <si>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</si>
  <si>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</si>
  <si>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</si>
  <si>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</si>
  <si>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</si>
  <si>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</si>
  <si>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</si>
  <si>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</si>
  <si>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</si>
  <si>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</si>
  <si>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</si>
  <si>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</si>
  <si>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</si>
  <si>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</si>
  <si>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</si>
  <si>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</si>
  <si>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</si>
  <si>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</si>
  <si>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</si>
  <si>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</si>
  <si>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</si>
  <si>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</si>
  <si>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</si>
  <si>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</si>
  <si>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</si>
  <si>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</si>
  <si>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</si>
  <si>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</si>
  <si>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</si>
  <si>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</si>
  <si>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</si>
  <si>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</si>
  <si>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</si>
  <si>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</si>
  <si>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</si>
  <si>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</si>
  <si>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</si>
  <si>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</si>
  <si>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</si>
  <si>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</si>
  <si>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</si>
  <si>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</si>
  <si>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</si>
  <si>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</si>
  <si>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</si>
  <si>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</si>
  <si>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</si>
  <si>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</si>
  <si>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</si>
  <si>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</si>
  <si>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</si>
  <si>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</si>
  <si>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</si>
  <si>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</si>
  <si>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</si>
  <si>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</si>
  <si>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</si>
  <si>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</si>
  <si>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</si>
  <si>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</si>
  <si>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</si>
  <si>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</si>
  <si>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</si>
  <si>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</si>
  <si>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</si>
  <si>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</si>
  <si>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</si>
  <si>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</si>
  <si>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</si>
  <si>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</si>
  <si>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</si>
  <si>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</si>
  <si>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</si>
  <si>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</si>
  <si>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</si>
  <si>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</si>
  <si>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</si>
  <si>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</si>
  <si>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</si>
  <si>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</si>
  <si>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</si>
  <si>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</si>
  <si>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</si>
  <si>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</si>
  <si>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</si>
  <si>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</si>
  <si>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</si>
  <si>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</si>
  <si>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</si>
  <si>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</si>
  <si>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</si>
  <si>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</si>
  <si>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</si>
  <si>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</si>
  <si>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</si>
  <si>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</si>
  <si>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</si>
  <si>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</si>
  <si>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</si>
  <si>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</si>
  <si>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</si>
  <si>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</si>
  <si>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</si>
  <si>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</si>
  <si>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</si>
  <si>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</si>
  <si>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</si>
  <si>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</si>
  <si>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</si>
  <si>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</si>
  <si>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</si>
  <si>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</si>
  <si>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</si>
  <si>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</si>
  <si>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</si>
  <si>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</si>
  <si>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</si>
  <si>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</si>
  <si>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</si>
  <si>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</si>
  <si>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</si>
  <si>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</si>
  <si>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</si>
  <si>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</si>
  <si>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</si>
  <si>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</si>
  <si>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</si>
  <si>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</si>
  <si>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</si>
  <si>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</si>
  <si>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</si>
  <si>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</si>
  <si>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</si>
  <si>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</si>
  <si>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</si>
  <si>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</si>
  <si>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</si>
  <si>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</si>
  <si>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</si>
  <si>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</si>
  <si>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</si>
  <si>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</si>
  <si>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</si>
  <si>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</si>
  <si>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</si>
  <si>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</si>
  <si>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</si>
  <si>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</si>
  <si>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</si>
  <si>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</si>
  <si>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</si>
  <si>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</si>
  <si>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</si>
  <si>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</si>
  <si>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</si>
  <si>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</si>
  <si>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</si>
  <si>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</si>
  <si>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</si>
  <si>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</si>
  <si>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</si>
  <si>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</si>
  <si>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</si>
  <si>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</si>
  <si>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</si>
  <si>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</si>
  <si>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</si>
  <si>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</si>
  <si>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</si>
  <si>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</si>
  <si>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</si>
  <si>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</si>
  <si>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</si>
  <si>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</si>
  <si>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</si>
  <si>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</si>
  <si>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</si>
  <si>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</si>
  <si>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</si>
  <si>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</si>
  <si>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</si>
  <si>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</si>
  <si>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</si>
  <si>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</si>
  <si>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</si>
  <si>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</si>
  <si>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</si>
  <si>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</si>
  <si>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</si>
  <si>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</si>
  <si>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</si>
  <si>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</si>
  <si>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</si>
  <si>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</si>
  <si>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</si>
  <si>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</si>
  <si>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</si>
  <si>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</si>
  <si>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</si>
  <si>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</si>
  <si>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</si>
  <si>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</si>
  <si>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</si>
  <si>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</si>
  <si>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</si>
  <si>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</si>
  <si>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</si>
  <si>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</si>
  <si>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</si>
  <si>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</si>
  <si>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</si>
  <si>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</si>
  <si>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</si>
  <si>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</si>
  <si>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</si>
  <si>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</si>
  <si>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</si>
  <si>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</si>
  <si>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</si>
  <si>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</si>
  <si>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</si>
  <si>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</si>
  <si>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</si>
  <si>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</si>
  <si>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</si>
  <si>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</si>
  <si>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</si>
  <si>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</si>
  <si>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</si>
  <si>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</si>
  <si>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</si>
  <si>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</si>
  <si>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</si>
  <si>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</si>
  <si>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</si>
  <si>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</si>
  <si>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</si>
  <si>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</si>
  <si>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</si>
  <si>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</si>
  <si>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</si>
  <si>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</si>
  <si>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</si>
  <si>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</si>
  <si>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</si>
  <si>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</si>
  <si>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</si>
  <si>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</si>
  <si>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</si>
  <si>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</si>
  <si>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</si>
  <si>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</si>
  <si>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</si>
  <si>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</si>
  <si>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</si>
  <si>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</si>
  <si>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</si>
  <si>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</si>
  <si>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</si>
  <si>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</si>
  <si>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</si>
  <si>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</si>
  <si>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</si>
  <si>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</si>
  <si>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</si>
  <si>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</si>
  <si>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</si>
  <si>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</si>
  <si>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</si>
  <si>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</si>
  <si>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</si>
  <si>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</si>
  <si>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</si>
  <si>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</si>
  <si>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</si>
  <si>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</si>
  <si>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</si>
  <si>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</si>
  <si>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</si>
  <si>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</si>
  <si>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</si>
  <si>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</si>
  <si>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</si>
  <si>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</si>
  <si>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</si>
  <si>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</si>
  <si>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</si>
  <si>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</si>
  <si>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</si>
  <si>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</si>
  <si>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</si>
  <si>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</si>
  <si>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</si>
  <si>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</si>
  <si>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</si>
  <si>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</si>
  <si>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</si>
  <si>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</si>
  <si>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</si>
  <si>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</si>
  <si>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</si>
  <si>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</si>
  <si>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</si>
  <si>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</si>
  <si>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</si>
  <si>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</si>
  <si>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</si>
  <si>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</si>
  <si>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</si>
  <si>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</si>
  <si>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</si>
  <si>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</si>
  <si>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</si>
  <si>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</si>
  <si>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</si>
  <si>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</si>
  <si>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</si>
  <si>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</si>
  <si>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</si>
  <si>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</si>
  <si>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</si>
  <si>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</si>
  <si>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</si>
  <si>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</si>
  <si>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</si>
  <si>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</si>
  <si>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</si>
  <si>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</si>
  <si>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</si>
  <si>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</si>
  <si>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</si>
  <si>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</si>
  <si>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</si>
  <si>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</si>
  <si>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</si>
  <si>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</si>
  <si>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</si>
  <si>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</si>
  <si>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</si>
  <si>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</si>
  <si>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</si>
  <si>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</si>
  <si>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</si>
  <si>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</si>
  <si>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</si>
  <si>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</si>
  <si>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</si>
  <si>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</si>
  <si>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</si>
  <si>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</si>
  <si>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</si>
  <si>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</si>
  <si>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</si>
  <si>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</si>
  <si>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</si>
  <si>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</si>
  <si>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</si>
  <si>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</si>
  <si>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</si>
  <si>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</si>
  <si>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</si>
  <si>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</si>
  <si>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</si>
  <si>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</si>
  <si>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</si>
  <si>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</si>
  <si>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</si>
  <si>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</si>
  <si>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</si>
  <si>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</si>
  <si>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</si>
  <si>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</si>
  <si>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</si>
  <si>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</si>
  <si>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</si>
  <si>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</si>
  <si>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</si>
  <si>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</si>
  <si>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</si>
  <si>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</si>
  <si>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</si>
  <si>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</si>
  <si>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</si>
  <si>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</si>
  <si>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</si>
  <si>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</si>
  <si>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</si>
  <si>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</si>
  <si>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</si>
  <si>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</si>
  <si>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</si>
  <si>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</si>
  <si>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</si>
  <si>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</si>
  <si>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</si>
  <si>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</si>
  <si>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</si>
  <si>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</si>
  <si>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</si>
  <si>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</si>
  <si>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</si>
  <si>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</si>
  <si>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</si>
  <si>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</si>
  <si>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</si>
  <si>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</si>
  <si>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</si>
  <si>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</si>
  <si>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</si>
  <si>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</si>
  <si>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</si>
  <si>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</si>
  <si>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</si>
  <si>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</si>
  <si>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</si>
  <si>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</si>
  <si>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</si>
  <si>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</si>
  <si>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</si>
  <si>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</si>
  <si>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</si>
  <si>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</si>
  <si>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</si>
  <si>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</si>
  <si>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</si>
  <si>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</si>
  <si>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</si>
  <si>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</si>
  <si>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</si>
  <si>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</si>
  <si>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</si>
  <si>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</si>
  <si>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</si>
  <si>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</si>
  <si>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</si>
  <si>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</si>
  <si>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</si>
  <si>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</si>
  <si>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</si>
  <si>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</si>
  <si>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</si>
  <si>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</si>
  <si>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</si>
  <si>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</si>
  <si>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</si>
  <si>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</si>
  <si>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</si>
  <si>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</si>
  <si>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</si>
  <si>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</si>
  <si>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</si>
  <si>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</si>
  <si>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</si>
  <si>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</si>
  <si>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</si>
  <si>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</si>
  <si>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</si>
  <si>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</si>
  <si>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</si>
  <si>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</si>
  <si>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</si>
  <si>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</si>
  <si>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</si>
  <si>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</si>
  <si>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</si>
  <si>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</si>
  <si>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</si>
  <si>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</si>
  <si>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</si>
  <si>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</si>
  <si>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</si>
  <si>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</si>
  <si>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</si>
  <si>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</si>
  <si>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</si>
  <si>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</si>
  <si>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</si>
  <si>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</si>
  <si>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</si>
  <si>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</si>
  <si>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</si>
  <si>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</si>
  <si>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</si>
  <si>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</si>
  <si>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</si>
  <si>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</si>
  <si>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</si>
  <si>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</si>
  <si>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</si>
  <si>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</si>
  <si>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</si>
  <si>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</si>
  <si>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</si>
  <si>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</si>
  <si>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</si>
  <si>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</si>
  <si>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</si>
  <si>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</si>
  <si>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</si>
  <si>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</si>
  <si>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</si>
  <si>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</si>
  <si>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</si>
  <si>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</si>
  <si>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</si>
  <si>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</si>
  <si>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</si>
  <si>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</si>
  <si>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</si>
  <si>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</si>
  <si>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</si>
  <si>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</si>
  <si>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</si>
  <si>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</si>
  <si>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</si>
  <si>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</si>
  <si>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</si>
  <si>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</si>
  <si>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</si>
  <si>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</si>
  <si>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</si>
  <si>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</si>
  <si>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</si>
  <si>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</si>
  <si>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</si>
  <si>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</si>
  <si>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</si>
  <si>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</si>
  <si>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</si>
  <si>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</si>
  <si>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</si>
  <si>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</si>
  <si>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</si>
  <si>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</si>
  <si>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</si>
  <si>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</si>
  <si>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</si>
  <si>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</si>
  <si>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</si>
  <si>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</si>
  <si>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</si>
  <si>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</si>
  <si>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</si>
  <si>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</si>
  <si>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</si>
  <si>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</si>
  <si>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</si>
  <si>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</si>
  <si>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</si>
  <si>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</si>
  <si>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</si>
  <si>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</si>
  <si>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</si>
  <si>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</si>
  <si>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</si>
  <si>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</si>
  <si>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</si>
  <si>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</si>
  <si>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</si>
  <si>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</si>
  <si>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</si>
  <si>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</si>
  <si>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</si>
  <si>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</si>
  <si>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</si>
  <si>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</si>
  <si>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</si>
  <si>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</si>
  <si>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</si>
  <si>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</si>
  <si>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</si>
  <si>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</si>
  <si>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</si>
  <si>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</si>
  <si>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</si>
  <si>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</si>
  <si>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</si>
  <si>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</si>
  <si>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</si>
  <si>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</si>
  <si>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</si>
  <si>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</si>
  <si>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</si>
  <si>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</si>
  <si>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</si>
  <si>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</si>
  <si>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</si>
  <si>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</si>
  <si>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</si>
  <si>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</si>
  <si>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</si>
  <si>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</si>
  <si>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</si>
  <si>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</si>
  <si>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</si>
  <si>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</si>
  <si>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</si>
  <si>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</si>
  <si>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</si>
  <si>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</si>
  <si>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</si>
  <si>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</si>
  <si>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</si>
  <si>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</si>
  <si>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</si>
  <si>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</si>
  <si>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</si>
  <si>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</si>
  <si>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</si>
  <si>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</si>
  <si>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</si>
  <si>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</si>
  <si>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</si>
  <si>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</si>
  <si>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</si>
  <si>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</si>
  <si>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</si>
  <si>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</si>
  <si>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</si>
  <si>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</si>
  <si>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</si>
  <si>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</si>
  <si>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</si>
  <si>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</si>
  <si>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</si>
  <si>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</si>
  <si>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</si>
  <si>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</si>
  <si>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</si>
  <si>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</si>
  <si>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</si>
  <si>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</si>
  <si>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</si>
  <si>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</si>
  <si>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</si>
  <si>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</si>
  <si>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</si>
  <si>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</si>
  <si>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</si>
  <si>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</si>
  <si>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</si>
  <si>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</si>
  <si>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</si>
  <si>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</si>
  <si>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</si>
  <si>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</si>
  <si>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</si>
  <si>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</si>
  <si>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</si>
  <si>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</si>
  <si>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</si>
  <si>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</si>
  <si>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</si>
  <si>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</si>
  <si>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</si>
  <si>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</si>
  <si>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</si>
  <si>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</si>
  <si>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</si>
  <si>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</si>
  <si>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</si>
  <si>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</si>
  <si>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</si>
  <si>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</si>
  <si>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</si>
  <si>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</si>
  <si>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</si>
  <si>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</si>
  <si>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</si>
  <si>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</si>
  <si>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</si>
  <si>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</si>
  <si>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</si>
  <si>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</si>
  <si>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</si>
  <si>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</si>
  <si>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</si>
  <si>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</si>
  <si>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</si>
  <si>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</si>
  <si>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</si>
  <si>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</si>
  <si>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</si>
  <si>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</si>
  <si>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</si>
  <si>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</si>
  <si>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</si>
  <si>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</si>
  <si>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</si>
  <si>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</si>
  <si>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</si>
  <si>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</si>
  <si>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</si>
  <si>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</si>
  <si>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</si>
  <si>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</si>
  <si>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</si>
  <si>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</si>
  <si>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</si>
  <si>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</si>
  <si>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</si>
  <si>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</si>
  <si>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</si>
  <si>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</si>
  <si>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</si>
  <si>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</si>
  <si>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</si>
  <si>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</si>
  <si>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</si>
  <si>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</si>
  <si>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</si>
  <si>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</si>
  <si>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</si>
  <si>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</si>
  <si>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</si>
  <si>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</si>
  <si>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</si>
  <si>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</si>
  <si>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</si>
  <si>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</si>
  <si>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</si>
  <si>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</si>
  <si>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</si>
  <si>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</si>
  <si>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</si>
  <si>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</si>
  <si>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</si>
  <si>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</si>
  <si>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</si>
  <si>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12021</t>
  </si>
  <si>
    <t>LIER</t>
  </si>
  <si>
    <t>Eandis (januari 2018); Infrax (juni 2018)</t>
  </si>
  <si>
    <t>MOW (september 2017)</t>
  </si>
  <si>
    <t>referentietaak LNE (2017); Jaarverslag De Lijn (2016)</t>
  </si>
  <si>
    <t>VEA (april 2018)</t>
  </si>
  <si>
    <t>VEA (januari 2017)</t>
  </si>
  <si>
    <t>VEA (juni 2018)</t>
  </si>
  <si>
    <t>Marc Pittoors</t>
  </si>
  <si>
    <t>Donderheide 35, 2500 Koningshooikt</t>
  </si>
  <si>
    <t>WKK-0055 Marc Pittoors</t>
  </si>
  <si>
    <t>interne verbrandingsmotor</t>
  </si>
  <si>
    <t>WKK interne verbrandinsgmotor (gas)</t>
  </si>
  <si>
    <t>IVEKA</t>
  </si>
  <si>
    <t>Costermans Marc</t>
  </si>
  <si>
    <t>Beekstraat 104, 2500 Koningshooikt</t>
  </si>
  <si>
    <t>WKK-0100 Costermans Marc</t>
  </si>
  <si>
    <t>Danny Dens</t>
  </si>
  <si>
    <t>Beekstraat 114 , 2500 Koningshooikt</t>
  </si>
  <si>
    <t>WKK-0199 Danny Dens</t>
  </si>
  <si>
    <t>WKK interne verbrandinsgmotor (vloeibaar)</t>
  </si>
  <si>
    <t>Vanlommel-Vanreusel</t>
  </si>
  <si>
    <t>Heistraat 31 A , 2500 Lier</t>
  </si>
  <si>
    <t>WKK-0193 Vanlommel-Vanreusel</t>
  </si>
  <si>
    <t>Heirstraat 31 b1 , 2500 Lier</t>
  </si>
  <si>
    <t>Fikoplant en Konaplant</t>
  </si>
  <si>
    <t>Tallaart 58 , 2500 Koningshooikt</t>
  </si>
  <si>
    <t>WKK-0201 Fikoplant en Konaplant</t>
  </si>
  <si>
    <t>Tallaart 46 , 2500 Koningshooikt</t>
  </si>
  <si>
    <t>Groeikracht Hooikt NV</t>
  </si>
  <si>
    <t>Haagstraat 5a , 2500 Koningshooikt</t>
  </si>
  <si>
    <t>WKK-0204 Groeikracht Hooikt</t>
  </si>
  <si>
    <t>Anne Mortelmans</t>
  </si>
  <si>
    <t>Maaikeneveld 47 , 2500 Lier</t>
  </si>
  <si>
    <t>WKK-0351 Anne Mortelmans</t>
  </si>
  <si>
    <t>OCMW Lier</t>
  </si>
  <si>
    <t>Paradeplein 2 2, 2500 Lier</t>
  </si>
  <si>
    <t>WKK-0596 OCMW Lier</t>
  </si>
  <si>
    <t>Transvaalstraat 44 , 2500 Lier</t>
  </si>
  <si>
    <t>WKK-0672 Eddy Van De Kerkhof Lier</t>
  </si>
  <si>
    <t>Voorbos 4 , 2500 Lier</t>
  </si>
  <si>
    <t xml:space="preserve">landbouw </t>
  </si>
  <si>
    <t>Witmo</t>
  </si>
  <si>
    <t>WKK-0726</t>
  </si>
  <si>
    <t>Interne verbrandingsmotor</t>
  </si>
  <si>
    <t>Hoog-Lachenen 65, 2500 Lier, BE</t>
  </si>
  <si>
    <t>IVEKA (via EANDIS)</t>
  </si>
  <si>
    <t>IVAREM</t>
  </si>
  <si>
    <t>Schoutetstraat 2 , 2800 Mechelen</t>
  </si>
  <si>
    <t>BGS-0009 IVAREM (GSC rest)</t>
  </si>
  <si>
    <t>biogas - stortgas</t>
  </si>
  <si>
    <t>niet WKK interne verbrandingsmotor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</si>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</sst>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244951.68247585194</c:v>
                </c:pt>
                <c:pt idx="1">
                  <c:v>154176.13693042667</c:v>
                </c:pt>
                <c:pt idx="2">
                  <c:v>2172.2089999999998</c:v>
                </c:pt>
                <c:pt idx="3">
                  <c:v>132029.63842166029</c:v>
                </c:pt>
                <c:pt idx="4">
                  <c:v>118484.45584325817</c:v>
                </c:pt>
                <c:pt idx="5">
                  <c:v>163896.44850931814</c:v>
                </c:pt>
                <c:pt idx="6">
                  <c:v>4683.7365290137359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244951.68247585194</c:v>
                </c:pt>
                <c:pt idx="1">
                  <c:v>154176.13693042667</c:v>
                </c:pt>
                <c:pt idx="2">
                  <c:v>2172.2089999999998</c:v>
                </c:pt>
                <c:pt idx="3">
                  <c:v>132029.63842166029</c:v>
                </c:pt>
                <c:pt idx="4">
                  <c:v>118484.45584325817</c:v>
                </c:pt>
                <c:pt idx="5">
                  <c:v>163896.44850931814</c:v>
                </c:pt>
                <c:pt idx="6">
                  <c:v>4683.7365290137359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46801.134711152699</c:v>
                </c:pt>
                <c:pt idx="1">
                  <c:v>31277.440586223594</c:v>
                </c:pt>
                <c:pt idx="2">
                  <c:v>421.4216226735922</c:v>
                </c:pt>
                <c:pt idx="3">
                  <c:v>27898.449894704539</c:v>
                </c:pt>
                <c:pt idx="4">
                  <c:v>21574.443916934022</c:v>
                </c:pt>
                <c:pt idx="5">
                  <c:v>41047.921050795325</c:v>
                </c:pt>
                <c:pt idx="6">
                  <c:v>1183.3486726246899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85312"/>
        <c:axId val="183156736"/>
      </c:barChart>
      <c:catAx>
        <c:axId val="183085312"/>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085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46801.134711152699</c:v>
                </c:pt>
                <c:pt idx="1">
                  <c:v>31277.440586223594</c:v>
                </c:pt>
                <c:pt idx="2">
                  <c:v>421.4216226735922</c:v>
                </c:pt>
                <c:pt idx="3">
                  <c:v>27898.449894704539</c:v>
                </c:pt>
                <c:pt idx="4">
                  <c:v>21574.443916934022</c:v>
                </c:pt>
                <c:pt idx="5">
                  <c:v>41047.921050795325</c:v>
                </c:pt>
                <c:pt idx="6">
                  <c:v>1183.3486726246899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12021</v>
      </c>
      <c r="B6" s="415"/>
      <c r="C6" s="416"/>
    </row>
    <row r="7" spans="1:7" s="413" customFormat="1" ht="15.75" customHeight="1">
      <c r="A7" s="417" t="str">
        <f>txtMunicipality</f>
        <v>LIER</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15514</v>
      </c>
      <c r="C9" s="342">
        <v>15752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2079.08</v>
      </c>
    </row>
    <row r="15" spans="1:6">
      <c r="A15" s="348" t="s">
        <v>184</v>
      </c>
      <c r="B15" s="334">
        <v>666</v>
      </c>
    </row>
    <row r="16" spans="1:6">
      <c r="A16" s="348" t="s">
        <v>6</v>
      </c>
      <c r="B16" s="334">
        <v>923</v>
      </c>
    </row>
    <row r="17" spans="1:6">
      <c r="A17" s="348" t="s">
        <v>7</v>
      </c>
      <c r="B17" s="334">
        <v>250</v>
      </c>
    </row>
    <row r="18" spans="1:6">
      <c r="A18" s="348" t="s">
        <v>8</v>
      </c>
      <c r="B18" s="334">
        <v>751</v>
      </c>
    </row>
    <row r="19" spans="1:6">
      <c r="A19" s="348" t="s">
        <v>9</v>
      </c>
      <c r="B19" s="334">
        <v>995</v>
      </c>
    </row>
    <row r="20" spans="1:6">
      <c r="A20" s="348" t="s">
        <v>10</v>
      </c>
      <c r="B20" s="334">
        <v>549</v>
      </c>
    </row>
    <row r="21" spans="1:6">
      <c r="A21" s="348" t="s">
        <v>11</v>
      </c>
      <c r="B21" s="334">
        <v>0</v>
      </c>
    </row>
    <row r="22" spans="1:6">
      <c r="A22" s="348" t="s">
        <v>12</v>
      </c>
      <c r="B22" s="334">
        <v>357</v>
      </c>
    </row>
    <row r="23" spans="1:6">
      <c r="A23" s="348" t="s">
        <v>13</v>
      </c>
      <c r="B23" s="334">
        <v>0</v>
      </c>
    </row>
    <row r="24" spans="1:6">
      <c r="A24" s="348" t="s">
        <v>14</v>
      </c>
      <c r="B24" s="334">
        <v>0</v>
      </c>
    </row>
    <row r="25" spans="1:6">
      <c r="A25" s="348" t="s">
        <v>15</v>
      </c>
      <c r="B25" s="334">
        <v>0</v>
      </c>
    </row>
    <row r="26" spans="1:6">
      <c r="A26" s="348" t="s">
        <v>16</v>
      </c>
      <c r="B26" s="334">
        <v>609</v>
      </c>
    </row>
    <row r="27" spans="1:6">
      <c r="A27" s="348" t="s">
        <v>17</v>
      </c>
      <c r="B27" s="334">
        <v>17</v>
      </c>
    </row>
    <row r="28" spans="1:6" s="356" customFormat="1">
      <c r="A28" s="355" t="s">
        <v>18</v>
      </c>
      <c r="B28" s="355">
        <v>104</v>
      </c>
    </row>
    <row r="29" spans="1:6">
      <c r="A29" s="355" t="s">
        <v>744</v>
      </c>
      <c r="B29" s="355">
        <v>414</v>
      </c>
      <c r="C29" s="356"/>
      <c r="D29" s="356"/>
      <c r="E29" s="356"/>
      <c r="F29" s="356"/>
    </row>
    <row r="30" spans="1:6">
      <c r="A30" s="341" t="s">
        <v>745</v>
      </c>
      <c r="B30" s="341">
        <v>66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30422.537367479399</v>
      </c>
    </row>
    <row r="37" spans="1:6">
      <c r="A37" s="348" t="s">
        <v>25</v>
      </c>
      <c r="B37" s="348" t="s">
        <v>28</v>
      </c>
      <c r="C37" s="334">
        <v>0</v>
      </c>
      <c r="D37" s="334">
        <v>0</v>
      </c>
      <c r="E37" s="334">
        <v>0</v>
      </c>
      <c r="F37" s="334">
        <v>0</v>
      </c>
    </row>
    <row r="38" spans="1:6">
      <c r="A38" s="348" t="s">
        <v>25</v>
      </c>
      <c r="B38" s="348" t="s">
        <v>29</v>
      </c>
      <c r="C38" s="334">
        <v>2</v>
      </c>
      <c r="D38" s="334">
        <v>32916045.760798499</v>
      </c>
      <c r="E38" s="334">
        <v>5</v>
      </c>
      <c r="F38" s="334">
        <v>203769.999013191</v>
      </c>
    </row>
    <row r="39" spans="1:6">
      <c r="A39" s="348" t="s">
        <v>30</v>
      </c>
      <c r="B39" s="348" t="s">
        <v>31</v>
      </c>
      <c r="C39" s="334">
        <v>12585</v>
      </c>
      <c r="D39" s="334">
        <v>190755928.10449001</v>
      </c>
      <c r="E39" s="334">
        <v>15639</v>
      </c>
      <c r="F39" s="334">
        <v>53823959.044702001</v>
      </c>
    </row>
    <row r="40" spans="1:6">
      <c r="A40" s="348" t="s">
        <v>30</v>
      </c>
      <c r="B40" s="348" t="s">
        <v>29</v>
      </c>
      <c r="C40" s="334">
        <v>0</v>
      </c>
      <c r="D40" s="334">
        <v>0</v>
      </c>
      <c r="E40" s="334">
        <v>0</v>
      </c>
      <c r="F40" s="334">
        <v>0</v>
      </c>
    </row>
    <row r="41" spans="1:6">
      <c r="A41" s="348" t="s">
        <v>32</v>
      </c>
      <c r="B41" s="348" t="s">
        <v>33</v>
      </c>
      <c r="C41" s="334">
        <v>212</v>
      </c>
      <c r="D41" s="334">
        <v>4421701.6568354499</v>
      </c>
      <c r="E41" s="334">
        <v>338</v>
      </c>
      <c r="F41" s="334">
        <v>4645733.8853310496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23</v>
      </c>
      <c r="D44" s="334">
        <v>880925.02651093004</v>
      </c>
      <c r="E44" s="334">
        <v>52</v>
      </c>
      <c r="F44" s="334">
        <v>31970943.562369902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113807.849900512</v>
      </c>
      <c r="E47" s="334">
        <v>11</v>
      </c>
      <c r="F47" s="334">
        <v>2930805.01186979</v>
      </c>
    </row>
    <row r="48" spans="1:6">
      <c r="A48" s="348" t="s">
        <v>32</v>
      </c>
      <c r="B48" s="348" t="s">
        <v>29</v>
      </c>
      <c r="C48" s="334">
        <v>31</v>
      </c>
      <c r="D48" s="334">
        <v>41370727.635949098</v>
      </c>
      <c r="E48" s="334">
        <v>46</v>
      </c>
      <c r="F48" s="334">
        <v>10018715.2318868</v>
      </c>
    </row>
    <row r="49" spans="1:6">
      <c r="A49" s="348" t="s">
        <v>32</v>
      </c>
      <c r="B49" s="348" t="s">
        <v>40</v>
      </c>
      <c r="C49" s="334">
        <v>3</v>
      </c>
      <c r="D49" s="334">
        <v>162596.45366624201</v>
      </c>
      <c r="E49" s="334">
        <v>0</v>
      </c>
      <c r="F49" s="334">
        <v>0</v>
      </c>
    </row>
    <row r="50" spans="1:6">
      <c r="A50" s="348" t="s">
        <v>32</v>
      </c>
      <c r="B50" s="348" t="s">
        <v>41</v>
      </c>
      <c r="C50" s="334">
        <v>22</v>
      </c>
      <c r="D50" s="334">
        <v>1802173.1424960201</v>
      </c>
      <c r="E50" s="334">
        <v>30</v>
      </c>
      <c r="F50" s="334">
        <v>1016777.03341492</v>
      </c>
    </row>
    <row r="51" spans="1:6">
      <c r="A51" s="348" t="s">
        <v>42</v>
      </c>
      <c r="B51" s="348" t="s">
        <v>43</v>
      </c>
      <c r="C51" s="334">
        <v>29</v>
      </c>
      <c r="D51" s="334">
        <v>195359014.41199899</v>
      </c>
      <c r="E51" s="334">
        <v>117</v>
      </c>
      <c r="F51" s="334">
        <v>2837831.0595856602</v>
      </c>
    </row>
    <row r="52" spans="1:6">
      <c r="A52" s="348" t="s">
        <v>42</v>
      </c>
      <c r="B52" s="348" t="s">
        <v>29</v>
      </c>
      <c r="C52" s="334">
        <v>8</v>
      </c>
      <c r="D52" s="334">
        <v>459731.24100981897</v>
      </c>
      <c r="E52" s="334">
        <v>11</v>
      </c>
      <c r="F52" s="334">
        <v>167689.32527361301</v>
      </c>
    </row>
    <row r="53" spans="1:6">
      <c r="A53" s="348" t="s">
        <v>44</v>
      </c>
      <c r="B53" s="348" t="s">
        <v>45</v>
      </c>
      <c r="C53" s="334">
        <v>407</v>
      </c>
      <c r="D53" s="334">
        <v>10039433.025859199</v>
      </c>
      <c r="E53" s="334">
        <v>819</v>
      </c>
      <c r="F53" s="334">
        <v>3052537.39841408</v>
      </c>
    </row>
    <row r="54" spans="1:6">
      <c r="A54" s="348" t="s">
        <v>46</v>
      </c>
      <c r="B54" s="348" t="s">
        <v>47</v>
      </c>
      <c r="C54" s="334">
        <v>0</v>
      </c>
      <c r="D54" s="334">
        <v>0</v>
      </c>
      <c r="E54" s="334">
        <v>2</v>
      </c>
      <c r="F54" s="334">
        <v>2172209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122</v>
      </c>
      <c r="D57" s="334">
        <v>5847255.1418309296</v>
      </c>
      <c r="E57" s="334">
        <v>209</v>
      </c>
      <c r="F57" s="334">
        <v>6374198.3729296802</v>
      </c>
    </row>
    <row r="58" spans="1:6">
      <c r="A58" s="348" t="s">
        <v>49</v>
      </c>
      <c r="B58" s="348" t="s">
        <v>51</v>
      </c>
      <c r="C58" s="334">
        <v>123</v>
      </c>
      <c r="D58" s="334">
        <v>9242759.5875232797</v>
      </c>
      <c r="E58" s="334">
        <v>155</v>
      </c>
      <c r="F58" s="334">
        <v>8278171.3910865104</v>
      </c>
    </row>
    <row r="59" spans="1:6">
      <c r="A59" s="348" t="s">
        <v>49</v>
      </c>
      <c r="B59" s="348" t="s">
        <v>52</v>
      </c>
      <c r="C59" s="334">
        <v>358</v>
      </c>
      <c r="D59" s="334">
        <v>15278308.7379582</v>
      </c>
      <c r="E59" s="334">
        <v>570</v>
      </c>
      <c r="F59" s="334">
        <v>21900974.785730202</v>
      </c>
    </row>
    <row r="60" spans="1:6">
      <c r="A60" s="348" t="s">
        <v>49</v>
      </c>
      <c r="B60" s="348" t="s">
        <v>53</v>
      </c>
      <c r="C60" s="334">
        <v>165</v>
      </c>
      <c r="D60" s="334">
        <v>9759735.4129578602</v>
      </c>
      <c r="E60" s="334">
        <v>207</v>
      </c>
      <c r="F60" s="334">
        <v>6711089.9936612695</v>
      </c>
    </row>
    <row r="61" spans="1:6">
      <c r="A61" s="348" t="s">
        <v>49</v>
      </c>
      <c r="B61" s="348" t="s">
        <v>54</v>
      </c>
      <c r="C61" s="334">
        <v>455</v>
      </c>
      <c r="D61" s="334">
        <v>23589158.319924202</v>
      </c>
      <c r="E61" s="334">
        <v>943</v>
      </c>
      <c r="F61" s="334">
        <v>15309251.169330301</v>
      </c>
    </row>
    <row r="62" spans="1:6">
      <c r="A62" s="348" t="s">
        <v>49</v>
      </c>
      <c r="B62" s="348" t="s">
        <v>55</v>
      </c>
      <c r="C62" s="334">
        <v>25</v>
      </c>
      <c r="D62" s="334">
        <v>3012312.31319167</v>
      </c>
      <c r="E62" s="334">
        <v>31</v>
      </c>
      <c r="F62" s="334">
        <v>939608.57285977597</v>
      </c>
    </row>
    <row r="63" spans="1:6">
      <c r="A63" s="348" t="s">
        <v>49</v>
      </c>
      <c r="B63" s="348" t="s">
        <v>29</v>
      </c>
      <c r="C63" s="334">
        <v>96</v>
      </c>
      <c r="D63" s="334">
        <v>11450965.298533799</v>
      </c>
      <c r="E63" s="334">
        <v>82</v>
      </c>
      <c r="F63" s="334">
        <v>2534708.9754125802</v>
      </c>
    </row>
    <row r="64" spans="1:6">
      <c r="A64" s="348" t="s">
        <v>56</v>
      </c>
      <c r="B64" s="348" t="s">
        <v>57</v>
      </c>
      <c r="C64" s="334">
        <v>0</v>
      </c>
      <c r="D64" s="334">
        <v>0</v>
      </c>
      <c r="E64" s="334">
        <v>0</v>
      </c>
      <c r="F64" s="334">
        <v>0</v>
      </c>
    </row>
    <row r="65" spans="1:6">
      <c r="A65" s="348" t="s">
        <v>56</v>
      </c>
      <c r="B65" s="348" t="s">
        <v>29</v>
      </c>
      <c r="C65" s="334">
        <v>4</v>
      </c>
      <c r="D65" s="334">
        <v>614486.04719049495</v>
      </c>
      <c r="E65" s="334">
        <v>4</v>
      </c>
      <c r="F65" s="334">
        <v>141030.01890730101</v>
      </c>
    </row>
    <row r="66" spans="1:6">
      <c r="A66" s="348" t="s">
        <v>56</v>
      </c>
      <c r="B66" s="348" t="s">
        <v>58</v>
      </c>
      <c r="C66" s="334">
        <v>0</v>
      </c>
      <c r="D66" s="334">
        <v>0</v>
      </c>
      <c r="E66" s="334">
        <v>12</v>
      </c>
      <c r="F66" s="334">
        <v>489727.35677848599</v>
      </c>
    </row>
    <row r="67" spans="1:6">
      <c r="A67" s="355" t="s">
        <v>56</v>
      </c>
      <c r="B67" s="355" t="s">
        <v>59</v>
      </c>
      <c r="C67" s="334">
        <v>0</v>
      </c>
      <c r="D67" s="334">
        <v>0</v>
      </c>
      <c r="E67" s="334">
        <v>0</v>
      </c>
      <c r="F67" s="334">
        <v>0</v>
      </c>
    </row>
    <row r="68" spans="1:6">
      <c r="A68" s="341" t="s">
        <v>56</v>
      </c>
      <c r="B68" s="341" t="s">
        <v>60</v>
      </c>
      <c r="C68" s="334">
        <v>16</v>
      </c>
      <c r="D68" s="334">
        <v>353334.27894673502</v>
      </c>
      <c r="E68" s="334">
        <v>30</v>
      </c>
      <c r="F68" s="334">
        <v>504170.66454383399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163813402</v>
      </c>
      <c r="E73" s="476">
        <v>153540986.88066113</v>
      </c>
    </row>
    <row r="74" spans="1:6">
      <c r="A74" s="348" t="s">
        <v>64</v>
      </c>
      <c r="B74" s="348" t="s">
        <v>657</v>
      </c>
      <c r="C74" s="1213" t="s">
        <v>659</v>
      </c>
      <c r="D74" s="476">
        <v>19261839.187593654</v>
      </c>
      <c r="E74" s="476">
        <v>18663673.341885686</v>
      </c>
    </row>
    <row r="75" spans="1:6">
      <c r="A75" s="348" t="s">
        <v>65</v>
      </c>
      <c r="B75" s="348" t="s">
        <v>656</v>
      </c>
      <c r="C75" s="1213" t="s">
        <v>660</v>
      </c>
      <c r="D75" s="476">
        <v>14978688</v>
      </c>
      <c r="E75" s="476">
        <v>13585865.585800745</v>
      </c>
    </row>
    <row r="76" spans="1:6">
      <c r="A76" s="348" t="s">
        <v>65</v>
      </c>
      <c r="B76" s="348" t="s">
        <v>657</v>
      </c>
      <c r="C76" s="1213" t="s">
        <v>661</v>
      </c>
      <c r="D76" s="476">
        <v>430493.18759365543</v>
      </c>
      <c r="E76" s="476">
        <v>398520.38017615129</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1270307.6248126891</v>
      </c>
      <c r="C83" s="476">
        <v>1275898.550334669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3826.8387293625865</v>
      </c>
    </row>
    <row r="92" spans="1:6">
      <c r="A92" s="341" t="s">
        <v>69</v>
      </c>
      <c r="B92" s="342">
        <v>6172.939493134636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8975</v>
      </c>
    </row>
    <row r="98" spans="1:6">
      <c r="A98" s="348" t="s">
        <v>72</v>
      </c>
      <c r="B98" s="334">
        <v>10</v>
      </c>
    </row>
    <row r="99" spans="1:6">
      <c r="A99" s="348" t="s">
        <v>73</v>
      </c>
      <c r="B99" s="334">
        <v>93</v>
      </c>
    </row>
    <row r="100" spans="1:6">
      <c r="A100" s="348" t="s">
        <v>74</v>
      </c>
      <c r="B100" s="334">
        <v>1324</v>
      </c>
    </row>
    <row r="101" spans="1:6">
      <c r="A101" s="348" t="s">
        <v>75</v>
      </c>
      <c r="B101" s="334">
        <v>71</v>
      </c>
    </row>
    <row r="102" spans="1:6">
      <c r="A102" s="348" t="s">
        <v>76</v>
      </c>
      <c r="B102" s="334">
        <v>164</v>
      </c>
    </row>
    <row r="103" spans="1:6">
      <c r="A103" s="348" t="s">
        <v>77</v>
      </c>
      <c r="B103" s="334">
        <v>319</v>
      </c>
    </row>
    <row r="104" spans="1:6">
      <c r="A104" s="348" t="s">
        <v>78</v>
      </c>
      <c r="B104" s="334">
        <v>2496</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27</v>
      </c>
      <c r="C123" s="334">
        <v>74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140</v>
      </c>
    </row>
    <row r="130" spans="1:6">
      <c r="A130" s="348" t="s">
        <v>295</v>
      </c>
      <c r="B130" s="334">
        <v>4</v>
      </c>
    </row>
    <row r="131" spans="1:6">
      <c r="A131" s="348" t="s">
        <v>296</v>
      </c>
      <c r="B131" s="334">
        <v>5</v>
      </c>
    </row>
    <row r="132" spans="1:6">
      <c r="A132" s="341" t="s">
        <v>297</v>
      </c>
      <c r="B132" s="342">
        <v>39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186104.84254543498</v>
      </c>
      <c r="C3" s="43" t="s">
        <v>170</v>
      </c>
      <c r="D3" s="43"/>
      <c r="E3" s="154"/>
      <c r="F3" s="43"/>
      <c r="G3" s="43"/>
      <c r="H3" s="43"/>
      <c r="I3" s="43"/>
      <c r="J3" s="43"/>
      <c r="K3" s="96"/>
    </row>
    <row r="4" spans="1:11">
      <c r="A4" s="383" t="s">
        <v>171</v>
      </c>
      <c r="B4" s="49">
        <f>IF(ISERROR('SEAP template'!B69),0,'SEAP template'!B69)</f>
        <v>85551.778222497218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13883.232587490693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0.19400601998868075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19063.087769652164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90085.07142857142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0.21161206254653761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2172.2089999999998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2172.2089999999998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0.19400601998868075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421.4216226735922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53823.959044702002</v>
      </c>
      <c r="C5" s="17">
        <f>IF(ISERROR('Eigen informatie GS &amp; warmtenet'!B57),0,'Eigen informatie GS &amp; warmtenet'!B57)</f>
        <v>0</v>
      </c>
      <c r="D5" s="30">
        <f>(SUM(HH_hh_gas_kWh,HH_rest_gas_kWh)/1000)*0.902</f>
        <v>172061.84715024999</v>
      </c>
      <c r="E5" s="17">
        <f>B46*B57</f>
        <v>3788.7214162274718</v>
      </c>
      <c r="F5" s="17">
        <f>B51*B62</f>
        <v>0</v>
      </c>
      <c r="G5" s="18"/>
      <c r="H5" s="17"/>
      <c r="I5" s="17"/>
      <c r="J5" s="17">
        <f>B50*B61+C50*C61</f>
        <v>0</v>
      </c>
      <c r="K5" s="17"/>
      <c r="L5" s="17"/>
      <c r="M5" s="17"/>
      <c r="N5" s="17">
        <f>B48*B59+C48*C59</f>
        <v>9857.3628019765492</v>
      </c>
      <c r="O5" s="17">
        <f>B69*B70*B71</f>
        <v>334.55333333333334</v>
      </c>
      <c r="P5" s="17">
        <f>B77*B78*B79/1000-B77*B78*B79/1000/B80</f>
        <v>1258.4000000000001</v>
      </c>
    </row>
    <row r="6" spans="1:16">
      <c r="A6" s="16" t="s">
        <v>621</v>
      </c>
      <c r="B6" s="843">
        <f>kWh_PV_kleiner_dan_10kW</f>
        <v>3826.8387293625865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57650.797774064587</v>
      </c>
      <c r="C8" s="21">
        <f>C5</f>
        <v>0</v>
      </c>
      <c r="D8" s="21">
        <f>D5</f>
        <v>172061.84715024999</v>
      </c>
      <c r="E8" s="21">
        <f>E5</f>
        <v>3788.7214162274718</v>
      </c>
      <c r="F8" s="21">
        <f>F5</f>
        <v>0</v>
      </c>
      <c r="G8" s="21"/>
      <c r="H8" s="21"/>
      <c r="I8" s="21"/>
      <c r="J8" s="21">
        <f>J5</f>
        <v>0</v>
      </c>
      <c r="K8" s="21"/>
      <c r="L8" s="21">
        <f>L5</f>
        <v>0</v>
      </c>
      <c r="M8" s="21">
        <f>M5</f>
        <v>0</v>
      </c>
      <c r="N8" s="21">
        <f>N5</f>
        <v>9857.3628019765492</v>
      </c>
      <c r="O8" s="21">
        <f>O5</f>
        <v>334.55333333333334</v>
      </c>
      <c r="P8" s="21">
        <f>P5</f>
        <v>1258.4000000000001</v>
      </c>
    </row>
    <row r="9" spans="1:16">
      <c r="B9" s="19"/>
      <c r="C9" s="19"/>
      <c r="D9" s="258"/>
      <c r="E9" s="19"/>
      <c r="F9" s="19"/>
      <c r="G9" s="19"/>
      <c r="H9" s="19"/>
      <c r="I9" s="19"/>
      <c r="J9" s="19"/>
      <c r="K9" s="19"/>
      <c r="L9" s="19"/>
      <c r="M9" s="19"/>
      <c r="N9" s="19"/>
      <c r="O9" s="19"/>
      <c r="P9" s="19"/>
    </row>
    <row r="10" spans="1:16">
      <c r="A10" s="24" t="s">
        <v>214</v>
      </c>
      <c r="B10" s="25">
        <f ca="1">'EF ele_warmte'!B12</f>
        <v>0.19400601998868075</v>
      </c>
      <c r="C10" s="25">
        <f ca="1">'EF ele_warmte'!B22</f>
        <v>0.21161206254653761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11184.601825318567</v>
      </c>
      <c r="C12" s="23">
        <f ca="1">C10*C8</f>
        <v>0</v>
      </c>
      <c r="D12" s="23">
        <f>D8*D10</f>
        <v>34756.493124350498</v>
      </c>
      <c r="E12" s="23">
        <f>E10*E8</f>
        <v>860.03976148363608</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8975</v>
      </c>
      <c r="C18" s="166" t="s">
        <v>111</v>
      </c>
      <c r="D18" s="228"/>
      <c r="E18" s="15"/>
    </row>
    <row r="19" spans="1:7">
      <c r="A19" s="171" t="s">
        <v>72</v>
      </c>
      <c r="B19" s="37">
        <f>aantalw2001_ander</f>
        <v>10</v>
      </c>
      <c r="C19" s="166" t="s">
        <v>111</v>
      </c>
      <c r="D19" s="229"/>
      <c r="E19" s="15"/>
    </row>
    <row r="20" spans="1:7">
      <c r="A20" s="171" t="s">
        <v>73</v>
      </c>
      <c r="B20" s="37">
        <f>aantalw2001_propaan</f>
        <v>93</v>
      </c>
      <c r="C20" s="167">
        <f>IF(ISERROR(B20/SUM($B$20,$B$21,$B$22)*100),0,B20/SUM($B$20,$B$21,$B$22)*100)</f>
        <v>6.25</v>
      </c>
      <c r="D20" s="229"/>
      <c r="E20" s="15"/>
    </row>
    <row r="21" spans="1:7">
      <c r="A21" s="171" t="s">
        <v>74</v>
      </c>
      <c r="B21" s="37">
        <f>aantalw2001_elektriciteit</f>
        <v>1324</v>
      </c>
      <c r="C21" s="167">
        <f>IF(ISERROR(B21/SUM($B$20,$B$21,$B$22)*100),0,B21/SUM($B$20,$B$21,$B$22)*100)</f>
        <v>88.978494623655919</v>
      </c>
      <c r="D21" s="229"/>
      <c r="E21" s="15"/>
    </row>
    <row r="22" spans="1:7">
      <c r="A22" s="171" t="s">
        <v>75</v>
      </c>
      <c r="B22" s="37">
        <f>aantalw2001_hout</f>
        <v>71</v>
      </c>
      <c r="C22" s="167">
        <f>IF(ISERROR(B22/SUM($B$20,$B$21,$B$22)*100),0,B22/SUM($B$20,$B$21,$B$22)*100)</f>
        <v>4.771505376344086</v>
      </c>
      <c r="D22" s="229"/>
      <c r="E22" s="15"/>
    </row>
    <row r="23" spans="1:7">
      <c r="A23" s="171" t="s">
        <v>76</v>
      </c>
      <c r="B23" s="37">
        <f>aantalw2001_niet_gespec</f>
        <v>164</v>
      </c>
      <c r="C23" s="166" t="s">
        <v>111</v>
      </c>
      <c r="D23" s="228"/>
      <c r="E23" s="15"/>
    </row>
    <row r="24" spans="1:7">
      <c r="A24" s="171" t="s">
        <v>77</v>
      </c>
      <c r="B24" s="37">
        <f>aantalw2001_steenkool</f>
        <v>319</v>
      </c>
      <c r="C24" s="166" t="s">
        <v>111</v>
      </c>
      <c r="D24" s="229"/>
      <c r="E24" s="15"/>
    </row>
    <row r="25" spans="1:7">
      <c r="A25" s="171" t="s">
        <v>78</v>
      </c>
      <c r="B25" s="37">
        <f>aantalw2001_stookolie</f>
        <v>2496</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15514</v>
      </c>
      <c r="C28" s="36"/>
      <c r="D28" s="228"/>
    </row>
    <row r="29" spans="1:7" s="15" customFormat="1">
      <c r="A29" s="230" t="s">
        <v>795</v>
      </c>
      <c r="B29" s="37">
        <f>SUM(HH_hh_gas_aantal,HH_rest_gas_aantal)</f>
        <v>12585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12585</v>
      </c>
      <c r="C32" s="167">
        <f>IF(ISERROR(B32/SUM($B$32,$B$34,$B$35,$B$36,$B$38,$B$39)*100),0,B32/SUM($B$32,$B$34,$B$35,$B$36,$B$38,$B$39)*100)</f>
        <v>81.46685655100984</v>
      </c>
      <c r="D32" s="233"/>
      <c r="G32" s="15"/>
    </row>
    <row r="33" spans="1:7">
      <c r="A33" s="171" t="s">
        <v>72</v>
      </c>
      <c r="B33" s="34" t="s">
        <v>111</v>
      </c>
      <c r="C33" s="167"/>
      <c r="D33" s="233"/>
      <c r="G33" s="15"/>
    </row>
    <row r="34" spans="1:7">
      <c r="A34" s="171" t="s">
        <v>73</v>
      </c>
      <c r="B34" s="33">
        <f>IF((($B$28-$B$32-$B$39-$B$77-$B$38)*C20/100)&lt;0,0,($B$28-$B$32-$B$39-$B$77-$B$38)*C20/100)</f>
        <v>178.9375</v>
      </c>
      <c r="C34" s="167">
        <f>IF(ISERROR(B34/SUM($B$32,$B$34,$B$35,$B$36,$B$38,$B$39)*100),0,B34/SUM($B$32,$B$34,$B$35,$B$36,$B$38,$B$39)*100)</f>
        <v>1.158321465561885</v>
      </c>
      <c r="D34" s="233"/>
      <c r="G34" s="15"/>
    </row>
    <row r="35" spans="1:7">
      <c r="A35" s="171" t="s">
        <v>74</v>
      </c>
      <c r="B35" s="33">
        <f>IF((($B$28-$B$32-$B$39-$B$77-$B$38)*C21/100)&lt;0,0,($B$28-$B$32-$B$39-$B$77-$B$38)*C21/100)</f>
        <v>2547.4543010752691</v>
      </c>
      <c r="C35" s="167">
        <f>IF(ISERROR(B35/SUM($B$32,$B$34,$B$35,$B$36,$B$38,$B$39)*100),0,B35/SUM($B$32,$B$34,$B$35,$B$36,$B$38,$B$39)*100)</f>
        <v>16.490512047354152</v>
      </c>
      <c r="D35" s="233"/>
      <c r="G35" s="15"/>
    </row>
    <row r="36" spans="1:7">
      <c r="A36" s="171" t="s">
        <v>75</v>
      </c>
      <c r="B36" s="33">
        <f>IF((($B$28-$B$32-$B$39-$B$77-$B$38)*C22/100)&lt;0,0,($B$28-$B$32-$B$39-$B$77-$B$38)*C22/100)</f>
        <v>136.6081989247312</v>
      </c>
      <c r="C36" s="167">
        <f>IF(ISERROR(B36/SUM($B$32,$B$34,$B$35,$B$36,$B$38,$B$39)*100),0,B36/SUM($B$32,$B$34,$B$35,$B$36,$B$38,$B$39)*100)</f>
        <v>0.88430993607412733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12585</v>
      </c>
      <c r="C44" s="34" t="s">
        <v>111</v>
      </c>
      <c r="D44" s="174"/>
    </row>
    <row r="45" spans="1:7">
      <c r="A45" s="171" t="s">
        <v>72</v>
      </c>
      <c r="B45" s="33" t="str">
        <f t="shared" si="0"/>
        <v>-</v>
      </c>
      <c r="C45" s="34" t="s">
        <v>111</v>
      </c>
      <c r="D45" s="174"/>
    </row>
    <row r="46" spans="1:7">
      <c r="A46" s="171" t="s">
        <v>73</v>
      </c>
      <c r="B46" s="33">
        <f t="shared" si="0"/>
        <v>178.9375</v>
      </c>
      <c r="C46" s="34" t="s">
        <v>111</v>
      </c>
      <c r="D46" s="174"/>
    </row>
    <row r="47" spans="1:7">
      <c r="A47" s="171" t="s">
        <v>74</v>
      </c>
      <c r="B47" s="33">
        <f t="shared" si="0"/>
        <v>2547.4543010752691</v>
      </c>
      <c r="C47" s="34" t="s">
        <v>111</v>
      </c>
      <c r="D47" s="174"/>
    </row>
    <row r="48" spans="1:7">
      <c r="A48" s="171" t="s">
        <v>75</v>
      </c>
      <c r="B48" s="33">
        <f t="shared" si="0"/>
        <v>136.6081989247312</v>
      </c>
      <c r="C48" s="33">
        <f>B48*10</f>
        <v>1366.0819892473119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62048.003261010315</v>
      </c>
      <c r="C5" s="17">
        <f>IF(ISERROR('Eigen informatie GS &amp; warmtenet'!B58),0,'Eigen informatie GS &amp; warmtenet'!B58)</f>
        <v>0</v>
      </c>
      <c r="D5" s="30">
        <f>SUM(D6:D12)</f>
        <v>70518.806320351781</v>
      </c>
      <c r="E5" s="17">
        <f>SUM(E6:E12)</f>
        <v>944.31256220071134</v>
      </c>
      <c r="F5" s="17">
        <f>SUM(F6:F12)</f>
        <v>10869.216956808294</v>
      </c>
      <c r="G5" s="18"/>
      <c r="H5" s="17"/>
      <c r="I5" s="17"/>
      <c r="J5" s="17">
        <f>SUM(J6:J12)</f>
        <v>0.1444967222597891</v>
      </c>
      <c r="K5" s="17"/>
      <c r="L5" s="17"/>
      <c r="M5" s="17"/>
      <c r="N5" s="17">
        <f>SUM(N6:N12)</f>
        <v>5835.850705548839</v>
      </c>
      <c r="O5" s="17">
        <f>B38*B39*B40</f>
        <v>6.2533333333333339</v>
      </c>
      <c r="P5" s="17">
        <f>B46*B47*B48/1000-B46*B47*B48/1000/B49</f>
        <v>114.4</v>
      </c>
      <c r="R5" s="32"/>
    </row>
    <row r="6" spans="1:18">
      <c r="A6" s="32" t="s">
        <v>54</v>
      </c>
      <c r="B6" s="37">
        <f>B26</f>
        <v>15309.2511693303</v>
      </c>
      <c r="C6" s="33"/>
      <c r="D6" s="37">
        <f>IF(ISERROR(TER_kantoor_gas_kWh/1000),0,TER_kantoor_gas_kWh/1000)*0.902</f>
        <v>21277.42080457163</v>
      </c>
      <c r="E6" s="33">
        <f>$C$26*'E Balans VL '!I12/100/3.6*1000000</f>
        <v>9.5953294552193286E-2</v>
      </c>
      <c r="F6" s="33">
        <f>$C$26*('E Balans VL '!L12+'E Balans VL '!N12)/100/3.6*1000000</f>
        <v>2300.5526694735636</v>
      </c>
      <c r="G6" s="34"/>
      <c r="H6" s="33"/>
      <c r="I6" s="33"/>
      <c r="J6" s="33">
        <f>$C$26*('E Balans VL '!D12+'E Balans VL '!E12)/100/3.6*1000000</f>
        <v>0</v>
      </c>
      <c r="K6" s="33"/>
      <c r="L6" s="33"/>
      <c r="M6" s="33"/>
      <c r="N6" s="33">
        <f>$C$26*'E Balans VL '!Y12/100/3.6*1000000</f>
        <v>14.64102889787627</v>
      </c>
      <c r="O6" s="33"/>
      <c r="P6" s="33"/>
      <c r="R6" s="32"/>
    </row>
    <row r="7" spans="1:18">
      <c r="A7" s="32" t="s">
        <v>53</v>
      </c>
      <c r="B7" s="37">
        <f t="shared" ref="B7:B12" si="0">B27</f>
        <v>6711.0899936612695</v>
      </c>
      <c r="C7" s="33"/>
      <c r="D7" s="37">
        <f>IF(ISERROR(TER_horeca_gas_kWh/1000),0,TER_horeca_gas_kWh/1000)*0.902</f>
        <v>8803.2813424879896</v>
      </c>
      <c r="E7" s="33">
        <f>$C$27*'E Balans VL '!I9/100/3.6*1000000</f>
        <v>96.101690855032672</v>
      </c>
      <c r="F7" s="33">
        <f>$C$27*('E Balans VL '!L9+'E Balans VL '!N9)/100/3.6*1000000</f>
        <v>849.84533347283298</v>
      </c>
      <c r="G7" s="34"/>
      <c r="H7" s="33"/>
      <c r="I7" s="33"/>
      <c r="J7" s="33">
        <f>$C$27*('E Balans VL '!D9+'E Balans VL '!E9)/100/3.6*1000000</f>
        <v>0</v>
      </c>
      <c r="K7" s="33"/>
      <c r="L7" s="33"/>
      <c r="M7" s="33"/>
      <c r="N7" s="33">
        <f>$C$27*'E Balans VL '!Y9/100/3.6*1000000</f>
        <v>1.9292904063446781</v>
      </c>
      <c r="O7" s="33"/>
      <c r="P7" s="33"/>
      <c r="R7" s="32"/>
    </row>
    <row r="8" spans="1:18">
      <c r="A8" s="6" t="s">
        <v>52</v>
      </c>
      <c r="B8" s="37">
        <f t="shared" si="0"/>
        <v>21900.974785730203</v>
      </c>
      <c r="C8" s="33"/>
      <c r="D8" s="37">
        <f>IF(ISERROR(TER_handel_gas_kWh/1000),0,TER_handel_gas_kWh/1000)*0.902</f>
        <v>13781.034481638299</v>
      </c>
      <c r="E8" s="33">
        <f>$C$28*'E Balans VL '!I13/100/3.6*1000000</f>
        <v>794.34565477121953</v>
      </c>
      <c r="F8" s="33">
        <f>$C$28*('E Balans VL '!L13+'E Balans VL '!N13)/100/3.6*1000000</f>
        <v>4218.3495052004955</v>
      </c>
      <c r="G8" s="34"/>
      <c r="H8" s="33"/>
      <c r="I8" s="33"/>
      <c r="J8" s="33">
        <f>$C$28*('E Balans VL '!D13+'E Balans VL '!E13)/100/3.6*1000000</f>
        <v>0</v>
      </c>
      <c r="K8" s="33"/>
      <c r="L8" s="33"/>
      <c r="M8" s="33"/>
      <c r="N8" s="33">
        <f>$C$28*'E Balans VL '!Y13/100/3.6*1000000</f>
        <v>30.3378892677934</v>
      </c>
      <c r="O8" s="33"/>
      <c r="P8" s="33"/>
      <c r="R8" s="32"/>
    </row>
    <row r="9" spans="1:18">
      <c r="A9" s="32" t="s">
        <v>51</v>
      </c>
      <c r="B9" s="37">
        <f t="shared" si="0"/>
        <v>8278.171391086511</v>
      </c>
      <c r="C9" s="33"/>
      <c r="D9" s="37">
        <f>IF(ISERROR(TER_gezond_gas_kWh/1000),0,TER_gezond_gas_kWh/1000)*0.902</f>
        <v>8336.969147945998</v>
      </c>
      <c r="E9" s="33">
        <f>$C$29*'E Balans VL '!I10/100/3.6*1000000</f>
        <v>0.51829526125873104</v>
      </c>
      <c r="F9" s="33">
        <f>$C$29*('E Balans VL '!L10+'E Balans VL '!N10)/100/3.6*1000000</f>
        <v>1229.7475647774252</v>
      </c>
      <c r="G9" s="34"/>
      <c r="H9" s="33"/>
      <c r="I9" s="33"/>
      <c r="J9" s="33">
        <f>$C$29*('E Balans VL '!D10+'E Balans VL '!E10)/100/3.6*1000000</f>
        <v>0</v>
      </c>
      <c r="K9" s="33"/>
      <c r="L9" s="33"/>
      <c r="M9" s="33"/>
      <c r="N9" s="33">
        <f>$C$29*'E Balans VL '!Y10/100/3.6*1000000</f>
        <v>128.04755385258593</v>
      </c>
      <c r="O9" s="33"/>
      <c r="P9" s="33"/>
      <c r="R9" s="32"/>
    </row>
    <row r="10" spans="1:18">
      <c r="A10" s="32" t="s">
        <v>50</v>
      </c>
      <c r="B10" s="37">
        <f t="shared" si="0"/>
        <v>6374.1983729296799</v>
      </c>
      <c r="C10" s="33"/>
      <c r="D10" s="37">
        <f>IF(ISERROR(TER_ander_gas_kWh/1000),0,TER_ander_gas_kWh/1000)*0.902</f>
        <v>5274.2241379314983</v>
      </c>
      <c r="E10" s="33">
        <f>$C$30*'E Balans VL '!I14/100/3.6*1000000</f>
        <v>7.5978166851696036</v>
      </c>
      <c r="F10" s="33">
        <f>$C$30*('E Balans VL '!L14+'E Balans VL '!N14)/100/3.6*1000000</f>
        <v>1667.773668960933</v>
      </c>
      <c r="G10" s="34"/>
      <c r="H10" s="33"/>
      <c r="I10" s="33"/>
      <c r="J10" s="33">
        <f>$C$30*('E Balans VL '!D14+'E Balans VL '!E14)/100/3.6*1000000</f>
        <v>0.13835886050859852</v>
      </c>
      <c r="K10" s="33"/>
      <c r="L10" s="33"/>
      <c r="M10" s="33"/>
      <c r="N10" s="33">
        <f>$C$30*'E Balans VL '!Y14/100/3.6*1000000</f>
        <v>5412.8132838531947</v>
      </c>
      <c r="O10" s="33"/>
      <c r="P10" s="33"/>
      <c r="R10" s="32"/>
    </row>
    <row r="11" spans="1:18">
      <c r="A11" s="32" t="s">
        <v>55</v>
      </c>
      <c r="B11" s="37">
        <f t="shared" si="0"/>
        <v>939.60857285977602</v>
      </c>
      <c r="C11" s="33"/>
      <c r="D11" s="37">
        <f>IF(ISERROR(TER_onderwijs_gas_kWh/1000),0,TER_onderwijs_gas_kWh/1000)*0.902</f>
        <v>2717.1057064988863</v>
      </c>
      <c r="E11" s="33">
        <f>$C$31*'E Balans VL '!I11/100/3.6*1000000</f>
        <v>14.177179980940256</v>
      </c>
      <c r="F11" s="33">
        <f>$C$31*('E Balans VL '!L11+'E Balans VL '!N11)/100/3.6*1000000</f>
        <v>164.63443265854733</v>
      </c>
      <c r="G11" s="34"/>
      <c r="H11" s="33"/>
      <c r="I11" s="33"/>
      <c r="J11" s="33">
        <f>$C$31*('E Balans VL '!D11+'E Balans VL '!E11)/100/3.6*1000000</f>
        <v>0</v>
      </c>
      <c r="K11" s="33"/>
      <c r="L11" s="33"/>
      <c r="M11" s="33"/>
      <c r="N11" s="33">
        <f>$C$31*'E Balans VL '!Y11/100/3.6*1000000</f>
        <v>2.644129955791374</v>
      </c>
      <c r="O11" s="33"/>
      <c r="P11" s="33"/>
      <c r="R11" s="32"/>
    </row>
    <row r="12" spans="1:18">
      <c r="A12" s="32" t="s">
        <v>260</v>
      </c>
      <c r="B12" s="37">
        <f t="shared" si="0"/>
        <v>2534.70897541258</v>
      </c>
      <c r="C12" s="33"/>
      <c r="D12" s="37">
        <f>IF(ISERROR(TER_rest_gas_kWh/1000),0,TER_rest_gas_kWh/1000)*0.902</f>
        <v>10328.770699277487</v>
      </c>
      <c r="E12" s="33">
        <f>$C$32*'E Balans VL '!I8/100/3.6*1000000</f>
        <v>31.475971352538291</v>
      </c>
      <c r="F12" s="33">
        <f>$C$32*('E Balans VL '!L8+'E Balans VL '!N8)/100/3.6*1000000</f>
        <v>438.31378226449516</v>
      </c>
      <c r="G12" s="34"/>
      <c r="H12" s="33"/>
      <c r="I12" s="33"/>
      <c r="J12" s="33">
        <f>$C$32*('E Balans VL '!D8+'E Balans VL '!E8)/100/3.6*1000000</f>
        <v>6.1378617511905842E-3</v>
      </c>
      <c r="K12" s="33"/>
      <c r="L12" s="33"/>
      <c r="M12" s="33"/>
      <c r="N12" s="33">
        <f>$C$32*'E Balans VL '!Y8/100/3.6*1000000</f>
        <v>245.43752931525324</v>
      </c>
      <c r="O12" s="33"/>
      <c r="P12" s="33"/>
      <c r="R12" s="32"/>
    </row>
    <row r="13" spans="1:18">
      <c r="A13" s="16" t="s">
        <v>488</v>
      </c>
      <c r="B13" s="247">
        <f ca="1">'lokale energieproductie'!N90+'lokale energieproductie'!N59</f>
        <v>10575</v>
      </c>
      <c r="C13" s="247">
        <f ca="1">'lokale energieproductie'!O90+'lokale energieproductie'!O59</f>
        <v>900.00000000000023</v>
      </c>
      <c r="D13" s="310">
        <f ca="1">('lokale energieproductie'!P59+'lokale energieproductie'!P90)*(-1)</f>
        <v>-1800.0000000000005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-28414.285714285717</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72623.003261010308</v>
      </c>
      <c r="C16" s="21">
        <f t="shared" ca="1" si="1"/>
        <v>900.00000000000023</v>
      </c>
      <c r="D16" s="21">
        <f t="shared" ca="1" si="1"/>
        <v>68718.806320351781</v>
      </c>
      <c r="E16" s="21">
        <f t="shared" si="1"/>
        <v>944.31256220071134</v>
      </c>
      <c r="F16" s="21">
        <f t="shared" ca="1" si="1"/>
        <v>10869.216956808294</v>
      </c>
      <c r="G16" s="21">
        <f t="shared" si="1"/>
        <v>0</v>
      </c>
      <c r="H16" s="21">
        <f t="shared" si="1"/>
        <v>0</v>
      </c>
      <c r="I16" s="21">
        <f t="shared" si="1"/>
        <v>0</v>
      </c>
      <c r="J16" s="21">
        <f t="shared" si="1"/>
        <v>0.1444967222597891</v>
      </c>
      <c r="K16" s="21">
        <f t="shared" si="1"/>
        <v>0</v>
      </c>
      <c r="L16" s="21">
        <f t="shared" ca="1" si="1"/>
        <v>0</v>
      </c>
      <c r="M16" s="21">
        <f t="shared" si="1"/>
        <v>0</v>
      </c>
      <c r="N16" s="21">
        <f t="shared" ca="1" si="1"/>
        <v>0</v>
      </c>
      <c r="O16" s="21">
        <f>O5</f>
        <v>6.2533333333333339</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0.19400601998868075</v>
      </c>
      <c r="C18" s="25">
        <f ca="1">'EF ele_warmte'!B22</f>
        <v>0.21161206254653761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14089.299822293593</v>
      </c>
      <c r="C20" s="23">
        <f t="shared" ref="C20:P20" ca="1" si="2">C16*C18</f>
        <v>190.45085629188389</v>
      </c>
      <c r="D20" s="23">
        <f t="shared" ca="1" si="2"/>
        <v>13881.198876711062</v>
      </c>
      <c r="E20" s="23">
        <f t="shared" si="2"/>
        <v>214.35895161956148</v>
      </c>
      <c r="F20" s="23">
        <f t="shared" ca="1" si="2"/>
        <v>2902.0809274678145</v>
      </c>
      <c r="G20" s="23">
        <f t="shared" si="2"/>
        <v>0</v>
      </c>
      <c r="H20" s="23">
        <f t="shared" si="2"/>
        <v>0</v>
      </c>
      <c r="I20" s="23">
        <f t="shared" si="2"/>
        <v>0</v>
      </c>
      <c r="J20" s="23">
        <f t="shared" si="2"/>
        <v>5.1151839679965339E-2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15309.2511693303</v>
      </c>
      <c r="C26" s="39">
        <f>IF(ISERROR(B26*3.6/1000000/'E Balans VL '!Z12*100),0,B26*3.6/1000000/'E Balans VL '!Z12*100)</f>
        <v>0.3236133179068485</v>
      </c>
      <c r="D26" s="237" t="s">
        <v>754</v>
      </c>
      <c r="F26" s="6"/>
    </row>
    <row r="27" spans="1:18">
      <c r="A27" s="231" t="s">
        <v>53</v>
      </c>
      <c r="B27" s="33">
        <f>IF(ISERROR(TER_horeca_ele_kWh/1000),0,TER_horeca_ele_kWh/1000)</f>
        <v>6711.0899936612695</v>
      </c>
      <c r="C27" s="39">
        <f>IF(ISERROR(B27*3.6/1000000/'E Balans VL '!Z9*100),0,B27*3.6/1000000/'E Balans VL '!Z9*100)</f>
        <v>0.52903272284937863</v>
      </c>
      <c r="D27" s="237" t="s">
        <v>754</v>
      </c>
      <c r="F27" s="6"/>
    </row>
    <row r="28" spans="1:18">
      <c r="A28" s="171" t="s">
        <v>52</v>
      </c>
      <c r="B28" s="33">
        <f>IF(ISERROR(TER_handel_ele_kWh/1000),0,TER_handel_ele_kWh/1000)</f>
        <v>21900.974785730203</v>
      </c>
      <c r="C28" s="39">
        <f>IF(ISERROR(B28*3.6/1000000/'E Balans VL '!Z13*100),0,B28*3.6/1000000/'E Balans VL '!Z13*100)</f>
        <v>0.63565477813585303</v>
      </c>
      <c r="D28" s="237" t="s">
        <v>754</v>
      </c>
      <c r="F28" s="6"/>
    </row>
    <row r="29" spans="1:18">
      <c r="A29" s="231" t="s">
        <v>51</v>
      </c>
      <c r="B29" s="33">
        <f>IF(ISERROR(TER_gezond_ele_kWh/1000),0,TER_gezond_ele_kWh/1000)</f>
        <v>8278.171391086511</v>
      </c>
      <c r="C29" s="39">
        <f>IF(ISERROR(B29*3.6/1000000/'E Balans VL '!Z10*100),0,B29*3.6/1000000/'E Balans VL '!Z10*100)</f>
        <v>0.87182737864370863</v>
      </c>
      <c r="D29" s="237" t="s">
        <v>754</v>
      </c>
      <c r="F29" s="6"/>
    </row>
    <row r="30" spans="1:18">
      <c r="A30" s="231" t="s">
        <v>50</v>
      </c>
      <c r="B30" s="33">
        <f>IF(ISERROR(TER_ander_ele_kWh/1000),0,TER_ander_ele_kWh/1000)</f>
        <v>6374.1983729296799</v>
      </c>
      <c r="C30" s="39">
        <f>IF(ISERROR(B30*3.6/1000000/'E Balans VL '!Z14*100),0,B30*3.6/1000000/'E Balans VL '!Z14*100)</f>
        <v>0.47016225645629295</v>
      </c>
      <c r="D30" s="237" t="s">
        <v>754</v>
      </c>
      <c r="F30" s="6"/>
    </row>
    <row r="31" spans="1:18">
      <c r="A31" s="231" t="s">
        <v>55</v>
      </c>
      <c r="B31" s="33">
        <f>IF(ISERROR(TER_onderwijs_ele_kWh/1000),0,TER_onderwijs_ele_kWh/1000)</f>
        <v>939.60857285977602</v>
      </c>
      <c r="C31" s="39">
        <f>IF(ISERROR(B31*3.6/1000000/'E Balans VL '!Z11*100),0,B31*3.6/1000000/'E Balans VL '!Z11*100)</f>
        <v>0.2333488224987019</v>
      </c>
      <c r="D31" s="237" t="s">
        <v>754</v>
      </c>
    </row>
    <row r="32" spans="1:18">
      <c r="A32" s="231" t="s">
        <v>260</v>
      </c>
      <c r="B32" s="33">
        <f>IF(ISERROR(TER_rest_ele_kWh/1000),0,TER_rest_ele_kWh/1000)</f>
        <v>2534.70897541258</v>
      </c>
      <c r="C32" s="39">
        <f>IF(ISERROR(B32*3.6/1000000/'E Balans VL '!Z8*100),0,B32*3.6/1000000/'E Balans VL '!Z8*100)</f>
        <v>2.0857290383489366E-2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6</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50582.97472487246</v>
      </c>
      <c r="C5" s="17">
        <f>IF(ISERROR('Eigen informatie GS &amp; warmtenet'!B59),0,'Eigen informatie GS &amp; warmtenet'!B59)</f>
        <v>0</v>
      </c>
      <c r="D5" s="30">
        <f>SUM(D6:D15)</f>
        <v>43974.242452353152</v>
      </c>
      <c r="E5" s="17">
        <f>SUM(E6:E15)</f>
        <v>2211.4823460821472</v>
      </c>
      <c r="F5" s="17">
        <f>SUM(F6:F15)</f>
        <v>8851.6162277385065</v>
      </c>
      <c r="G5" s="18"/>
      <c r="H5" s="17"/>
      <c r="I5" s="17"/>
      <c r="J5" s="17">
        <f>SUM(J6:J15)</f>
        <v>36.320086529155084</v>
      </c>
      <c r="K5" s="17"/>
      <c r="L5" s="17"/>
      <c r="M5" s="17"/>
      <c r="N5" s="17">
        <f>SUM(N6:N15)</f>
        <v>12827.820005682745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31970.943562369903</v>
      </c>
      <c r="C8" s="33"/>
      <c r="D8" s="37">
        <f>IF( ISERROR(IND_metaal_Gas_kWH/1000),0,IND_metaal_Gas_kWH/1000)*0.902</f>
        <v>794.59437391285894</v>
      </c>
      <c r="E8" s="33">
        <f>C30*'E Balans VL '!I18/100/3.6*1000000</f>
        <v>293.9419482250496</v>
      </c>
      <c r="F8" s="33">
        <f>C30*'E Balans VL '!L18/100/3.6*1000000+C30*'E Balans VL '!N18/100/3.6*1000000</f>
        <v>2997.8100856935866</v>
      </c>
      <c r="G8" s="34"/>
      <c r="H8" s="33"/>
      <c r="I8" s="33"/>
      <c r="J8" s="40">
        <f>C30*'E Balans VL '!D18/100/3.6*1000000+C30*'E Balans VL '!E18/100/3.6*1000000</f>
        <v>0</v>
      </c>
      <c r="K8" s="33"/>
      <c r="L8" s="33"/>
      <c r="M8" s="33"/>
      <c r="N8" s="33">
        <f>C30*'E Balans VL '!Y18/100/3.6*1000000</f>
        <v>456.11834412634744</v>
      </c>
      <c r="O8" s="33"/>
      <c r="P8" s="33"/>
      <c r="R8" s="32"/>
    </row>
    <row r="9" spans="1:18">
      <c r="A9" s="6" t="s">
        <v>33</v>
      </c>
      <c r="B9" s="37">
        <f t="shared" si="0"/>
        <v>4645.7338853310494</v>
      </c>
      <c r="C9" s="33"/>
      <c r="D9" s="37">
        <f>IF( ISERROR(IND_andere_gas_kWh/1000),0,IND_andere_gas_kWh/1000)*0.902</f>
        <v>3988.3748944655763</v>
      </c>
      <c r="E9" s="33">
        <f>C31*'E Balans VL '!I19/100/3.6*1000000</f>
        <v>1358.0384564534679</v>
      </c>
      <c r="F9" s="33">
        <f>C31*'E Balans VL '!L19/100/3.6*1000000+C31*'E Balans VL '!N19/100/3.6*1000000</f>
        <v>3733.198826606957</v>
      </c>
      <c r="G9" s="34"/>
      <c r="H9" s="33"/>
      <c r="I9" s="33"/>
      <c r="J9" s="40">
        <f>C31*'E Balans VL '!D19/100/3.6*1000000+C31*'E Balans VL '!E19/100/3.6*1000000</f>
        <v>0</v>
      </c>
      <c r="K9" s="33"/>
      <c r="L9" s="33"/>
      <c r="M9" s="33"/>
      <c r="N9" s="33">
        <f>C31*'E Balans VL '!Y19/100/3.6*1000000</f>
        <v>1535.0225259375752</v>
      </c>
      <c r="O9" s="33"/>
      <c r="P9" s="33"/>
      <c r="R9" s="32"/>
    </row>
    <row r="10" spans="1:18">
      <c r="A10" s="6" t="s">
        <v>41</v>
      </c>
      <c r="B10" s="37">
        <f t="shared" si="0"/>
        <v>1016.77703341492</v>
      </c>
      <c r="C10" s="33"/>
      <c r="D10" s="37">
        <f>IF( ISERROR(IND_voed_gas_kWh/1000),0,IND_voed_gas_kWh/1000)*0.902</f>
        <v>1625.5601745314102</v>
      </c>
      <c r="E10" s="33">
        <f>C32*'E Balans VL '!I20/100/3.6*1000000</f>
        <v>2.1510075795038883</v>
      </c>
      <c r="F10" s="33">
        <f>C32*'E Balans VL '!L20/100/3.6*1000000+C32*'E Balans VL '!N20/100/3.6*1000000</f>
        <v>64.647722391803541</v>
      </c>
      <c r="G10" s="34"/>
      <c r="H10" s="33"/>
      <c r="I10" s="33"/>
      <c r="J10" s="40">
        <f>C32*'E Balans VL '!D20/100/3.6*1000000+C32*'E Balans VL '!E20/100/3.6*1000000</f>
        <v>0</v>
      </c>
      <c r="K10" s="33"/>
      <c r="L10" s="33"/>
      <c r="M10" s="33"/>
      <c r="N10" s="33">
        <f>C32*'E Balans VL '!Y20/100/3.6*1000000</f>
        <v>70.167649106566941</v>
      </c>
      <c r="O10" s="33"/>
      <c r="P10" s="33"/>
      <c r="R10" s="32"/>
    </row>
    <row r="11" spans="1:18">
      <c r="A11" s="6" t="s">
        <v>40</v>
      </c>
      <c r="B11" s="37">
        <f t="shared" si="0"/>
        <v>0</v>
      </c>
      <c r="C11" s="33"/>
      <c r="D11" s="37">
        <f>IF( ISERROR(IND_textiel_gas_kWh/1000),0,IND_textiel_gas_kWh/1000)*0.902</f>
        <v>146.66200120695029</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2930.8050118697902</v>
      </c>
      <c r="C13" s="33"/>
      <c r="D13" s="37">
        <f>IF( ISERROR(IND_papier_gas_kWh/1000),0,IND_papier_gas_kWh/1000)*0.902</f>
        <v>102.65468061026182</v>
      </c>
      <c r="E13" s="33">
        <f>C35*'E Balans VL '!I23/100/3.6*1000000</f>
        <v>4.1581420419403106</v>
      </c>
      <c r="F13" s="33">
        <f>C35*'E Balans VL '!L23/100/3.6*1000000+C35*'E Balans VL '!N23/100/3.6*1000000</f>
        <v>71.551970877128866</v>
      </c>
      <c r="G13" s="34"/>
      <c r="H13" s="33"/>
      <c r="I13" s="33"/>
      <c r="J13" s="40">
        <f>C35*'E Balans VL '!D23/100/3.6*1000000+C35*'E Balans VL '!E23/100/3.6*1000000</f>
        <v>0.45327651115987405</v>
      </c>
      <c r="K13" s="33"/>
      <c r="L13" s="33"/>
      <c r="M13" s="33"/>
      <c r="N13" s="33">
        <f>C35*'E Balans VL '!Y23/100/3.6*1000000</f>
        <v>8519.1564003065541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10018.715231886801</v>
      </c>
      <c r="C15" s="33"/>
      <c r="D15" s="37">
        <f>IF( ISERROR(IND_rest_gas_kWh/1000),0,IND_rest_gas_kWh/1000)*0.902</f>
        <v>37316.396327626091</v>
      </c>
      <c r="E15" s="33">
        <f>C37*'E Balans VL '!I15/100/3.6*1000000</f>
        <v>553.19279178218585</v>
      </c>
      <c r="F15" s="33">
        <f>C37*'E Balans VL '!L15/100/3.6*1000000+C37*'E Balans VL '!N15/100/3.6*1000000</f>
        <v>1984.4076221690307</v>
      </c>
      <c r="G15" s="34"/>
      <c r="H15" s="33"/>
      <c r="I15" s="33"/>
      <c r="J15" s="40">
        <f>C37*'E Balans VL '!D15/100/3.6*1000000+C37*'E Balans VL '!E15/100/3.6*1000000</f>
        <v>35.866810017995213</v>
      </c>
      <c r="K15" s="33"/>
      <c r="L15" s="33"/>
      <c r="M15" s="33"/>
      <c r="N15" s="33">
        <f>C37*'E Balans VL '!Y15/100/3.6*1000000</f>
        <v>2247.3550862057014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50582.97472487246</v>
      </c>
      <c r="C18" s="21">
        <f>C5+C16</f>
        <v>0</v>
      </c>
      <c r="D18" s="21">
        <f>MAX((D5+D16),0)</f>
        <v>43974.242452353152</v>
      </c>
      <c r="E18" s="21">
        <f>MAX((E5+E16),0)</f>
        <v>2211.4823460821472</v>
      </c>
      <c r="F18" s="21">
        <f>MAX((F5+F16),0)</f>
        <v>8851.6162277385065</v>
      </c>
      <c r="G18" s="21"/>
      <c r="H18" s="21"/>
      <c r="I18" s="21"/>
      <c r="J18" s="21">
        <f>MAX((J5+J16),0)</f>
        <v>36.320086529155084</v>
      </c>
      <c r="K18" s="21"/>
      <c r="L18" s="21">
        <f>MAX((L5+L16),0)</f>
        <v>0</v>
      </c>
      <c r="M18" s="21"/>
      <c r="N18" s="21">
        <f>MAX((N5+N16),0)</f>
        <v>12827.820005682745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0.19400601998868075</v>
      </c>
      <c r="C20" s="25">
        <f ca="1">'EF ele_warmte'!B22</f>
        <v>0.21161206254653761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9813.4016055605389</v>
      </c>
      <c r="C22" s="23">
        <f ca="1">C18*C20</f>
        <v>0</v>
      </c>
      <c r="D22" s="23">
        <f>D18*D20</f>
        <v>8882.7969753753368</v>
      </c>
      <c r="E22" s="23">
        <f>E18*E20</f>
        <v>502.00649256064742</v>
      </c>
      <c r="F22" s="23">
        <f>F18*F20</f>
        <v>2363.3815328061814</v>
      </c>
      <c r="G22" s="23"/>
      <c r="H22" s="23"/>
      <c r="I22" s="23"/>
      <c r="J22" s="23">
        <f>J18*J20</f>
        <v>12.8573106313209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31970.943562369903</v>
      </c>
      <c r="C30" s="39">
        <f>IF(ISERROR(B30*3.6/1000000/'E Balans VL '!Z18*100),0,B30*3.6/1000000/'E Balans VL '!Z18*100)</f>
        <v>1.8118753505406107</v>
      </c>
      <c r="D30" s="237" t="s">
        <v>754</v>
      </c>
    </row>
    <row r="31" spans="1:18">
      <c r="A31" s="6" t="s">
        <v>33</v>
      </c>
      <c r="B31" s="37">
        <f>IF( ISERROR(IND_ander_ele_kWh/1000),0,IND_ander_ele_kWh/1000)</f>
        <v>4645.7338853310494</v>
      </c>
      <c r="C31" s="39">
        <f>IF(ISERROR(B31*3.6/1000000/'E Balans VL '!Z19*100),0,B31*3.6/1000000/'E Balans VL '!Z19*100)</f>
        <v>0.21071114453940298</v>
      </c>
      <c r="D31" s="237" t="s">
        <v>754</v>
      </c>
    </row>
    <row r="32" spans="1:18">
      <c r="A32" s="171" t="s">
        <v>41</v>
      </c>
      <c r="B32" s="37">
        <f>IF( ISERROR(IND_voed_ele_kWh/1000),0,IND_voed_ele_kWh/1000)</f>
        <v>1016.77703341492</v>
      </c>
      <c r="C32" s="39">
        <f>IF(ISERROR(B32*3.6/1000000/'E Balans VL '!Z20*100),0,B32*3.6/1000000/'E Balans VL '!Z20*100)</f>
        <v>3.1453529421519681E-2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2930.8050118697902</v>
      </c>
      <c r="C35" s="39">
        <f>IF(ISERROR(B35*3.6/1000000/'E Balans VL '!Z22*100),0,B35*3.6/1000000/'E Balans VL '!Z22*100)</f>
        <v>0.52716038157211254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10018.715231886801</v>
      </c>
      <c r="C37" s="39">
        <f>IF(ISERROR(B37*3.6/1000000/'E Balans VL '!Z15*100),0,B37*3.6/1000000/'E Balans VL '!Z15*100)</f>
        <v>7.941062236519178E-2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3005.5203848592732</v>
      </c>
      <c r="C5" s="17">
        <f>'Eigen informatie GS &amp; warmtenet'!B60</f>
        <v>0</v>
      </c>
      <c r="D5" s="30">
        <f>IF(ISERROR(SUM(LB_lb_gas_kWh,LB_rest_gas_kWh,onbekend_gas_kWh)/1000),0,SUM(LB_lb_gas_kWh,LB_rest_gas_kWh,onbekend_gas_kWh)/1000)*0.902</f>
        <v>185684.07716833896</v>
      </c>
      <c r="E5" s="17">
        <f>B17*'E Balans VL '!I25/3.6*1000000/100</f>
        <v>88.341424029829383</v>
      </c>
      <c r="F5" s="17">
        <f>B17*('E Balans VL '!L25/3.6*1000000+'E Balans VL '!N25/3.6*1000000)/100</f>
        <v>12520.835513526647</v>
      </c>
      <c r="G5" s="18"/>
      <c r="H5" s="17"/>
      <c r="I5" s="17"/>
      <c r="J5" s="17">
        <f>('E Balans VL '!D25+'E Balans VL '!E25)/3.6*1000000*landbouw!B17/100</f>
        <v>435.43535947701258</v>
      </c>
      <c r="K5" s="17"/>
      <c r="L5" s="17">
        <f>L6*(-1)</f>
        <v>22477.5</v>
      </c>
      <c r="M5" s="17"/>
      <c r="N5" s="17">
        <f>N6*(-1)</f>
        <v>0</v>
      </c>
      <c r="O5" s="17"/>
      <c r="P5" s="17"/>
      <c r="R5" s="32"/>
    </row>
    <row r="6" spans="1:18">
      <c r="A6" s="16" t="s">
        <v>488</v>
      </c>
      <c r="B6" s="17" t="s">
        <v>211</v>
      </c>
      <c r="C6" s="17">
        <f>'lokale energieproductie'!O91+'lokale energieproductie'!O60</f>
        <v>89185.07142857142</v>
      </c>
      <c r="D6" s="310">
        <f>('lokale energieproductie'!P60+'lokale energieproductie'!P91)*(-1)</f>
        <v>-151397.14285714284</v>
      </c>
      <c r="E6" s="248"/>
      <c r="F6" s="310">
        <f>('lokale energieproductie'!S60+'lokale energieproductie'!S91)*(-1)</f>
        <v>-7492.5</v>
      </c>
      <c r="G6" s="249"/>
      <c r="H6" s="248"/>
      <c r="I6" s="248"/>
      <c r="J6" s="248"/>
      <c r="K6" s="248"/>
      <c r="L6" s="310">
        <f>('lokale energieproductie'!T60+'lokale energieproductie'!U60+'lokale energieproductie'!T91+'lokale energieproductie'!U91)*(-1)</f>
        <v>-22477.5</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3005.5203848592732</v>
      </c>
      <c r="C8" s="21">
        <f>C5+C6</f>
        <v>89185.07142857142</v>
      </c>
      <c r="D8" s="21">
        <f>MAX((D5+D6),0)</f>
        <v>34286.934311196121</v>
      </c>
      <c r="E8" s="21">
        <f>MAX((E5+E6),0)</f>
        <v>88.341424029829383</v>
      </c>
      <c r="F8" s="21">
        <f>MAX((F5+F6),0)</f>
        <v>5028.3355135266465</v>
      </c>
      <c r="G8" s="21"/>
      <c r="H8" s="21"/>
      <c r="I8" s="21"/>
      <c r="J8" s="21">
        <f>MAX((J5+J6),0)</f>
        <v>435.43535947701258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0.19400601998868075</v>
      </c>
      <c r="C10" s="31">
        <f ca="1">'EF ele_warmte'!B22</f>
        <v>0.21161206254653761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583.08904786139567</v>
      </c>
      <c r="C12" s="23">
        <f ca="1">C8*C10</f>
        <v>18872.636913360278</v>
      </c>
      <c r="D12" s="23">
        <f>D8*D10</f>
        <v>6925.9607308616169</v>
      </c>
      <c r="E12" s="23">
        <f>E8*E10</f>
        <v>20.053503254771272</v>
      </c>
      <c r="F12" s="23">
        <f>F8*F10</f>
        <v>1342.5655821116147</v>
      </c>
      <c r="G12" s="23"/>
      <c r="H12" s="23"/>
      <c r="I12" s="23"/>
      <c r="J12" s="23">
        <f>J8*J10</f>
        <v>154.14411725486244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0.42649277214416692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275.46804769915315</v>
      </c>
      <c r="C26" s="247">
        <f>B26*'GWP N2O_CH4'!B5</f>
        <v>5784.8290016822157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48.248613110777285</v>
      </c>
      <c r="C27" s="247">
        <f>B27*'GWP N2O_CH4'!B5</f>
        <v>1013.220875326323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3.7652521223503501</v>
      </c>
      <c r="C28" s="247">
        <f>B28*'GWP N2O_CH4'!B4</f>
        <v>1167.2281579286084</v>
      </c>
      <c r="D28" s="50"/>
    </row>
    <row r="29" spans="1:4">
      <c r="A29" s="41" t="s">
        <v>277</v>
      </c>
      <c r="B29" s="247">
        <f>B34*'ha_N2O bodem landbouw'!B4</f>
        <v>13.526994259685823</v>
      </c>
      <c r="C29" s="247">
        <f>B29*'GWP N2O_CH4'!B4</f>
        <v>4193.3682205026053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3.0868134739642722E-3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2.5321464226208247E-4</v>
      </c>
      <c r="C5" s="463" t="s">
        <v>211</v>
      </c>
      <c r="D5" s="448">
        <f>SUM(D6:D11)</f>
        <v>8.0900236757404267E-4</v>
      </c>
      <c r="E5" s="448">
        <f>SUM(E6:E11)</f>
        <v>1.0937939030151544E-3</v>
      </c>
      <c r="F5" s="461" t="s">
        <v>211</v>
      </c>
      <c r="G5" s="448">
        <f>SUM(G6:G11)</f>
        <v>0.46621849645980329</v>
      </c>
      <c r="H5" s="448">
        <f>SUM(H6:H11)</f>
        <v>9.16921380277637E-2</v>
      </c>
      <c r="I5" s="463" t="s">
        <v>211</v>
      </c>
      <c r="J5" s="463" t="s">
        <v>211</v>
      </c>
      <c r="K5" s="463" t="s">
        <v>211</v>
      </c>
      <c r="L5" s="463" t="s">
        <v>211</v>
      </c>
      <c r="M5" s="448">
        <f>SUM(M6:M11)</f>
        <v>2.9960569233127031E-2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2.3200104649576337E-4</v>
      </c>
      <c r="C6" s="449"/>
      <c r="D6" s="962">
        <f>vkm_2011_GW_PW*SUMIFS(TableVerdeelsleutelVkm[CNG],TableVerdeelsleutelVkm[Voertuigtype],"Lichte voertuigen")*SUMIFS(TableECFTransport[EnergieConsumptieFactor (PJ per km)],TableECFTransport[Index],CONCATENATE($A6,"_CNG_CNG"))</f>
        <v>6.9586998299864733E-4</v>
      </c>
      <c r="E6" s="962">
        <f>vkm_2011_GW_PW*SUMIFS(TableVerdeelsleutelVkm[LPG],TableVerdeelsleutelVkm[Voertuigtype],"Lichte voertuigen")*SUMIFS(TableECFTransport[EnergieConsumptieFactor (PJ per km)],TableECFTransport[Index],CONCATENATE($A6,"_LPG_LPG"))</f>
        <v>9.5065835357311355E-4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0.24579667137774691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7.9133360167971345E-2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1.6709221198557101E-2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0.18075404445353888</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5.5080524192067798E-5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1.0562666163950209E-2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2.1213595766319126E-5</v>
      </c>
      <c r="C8" s="449"/>
      <c r="D8" s="451">
        <f>vkm_2011_NGW_PW*SUMIFS(TableVerdeelsleutelVkm[CNG],TableVerdeelsleutelVkm[Voertuigtype],"Lichte voertuigen")*SUMIFS(TableECFTransport[EnergieConsumptieFactor (PJ per km)],TableECFTransport[Index],CONCATENATE($A8,"_CNG_CNG"))</f>
        <v>1.1313238457539536E-4</v>
      </c>
      <c r="E8" s="451">
        <f>vkm_2011_NGW_PW*SUMIFS(TableVerdeelsleutelVkm[LPG],TableVerdeelsleutelVkm[Voertuigtype],"Lichte voertuigen")*SUMIFS(TableECFTransport[EnergieConsumptieFactor (PJ per km)],TableECFTransport[Index],CONCATENATE($A8,"_LPG_LPG"))</f>
        <v>1.4313554944204085E-4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3.4487812022185954E-2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1.2502211339668065E-2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2.3859844491684323E-3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5.1799686063315441E-3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1.4859959322225747E-6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3.0269742145128922E-4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70.337400628356235</v>
      </c>
      <c r="C14" s="21"/>
      <c r="D14" s="21">
        <f t="shared" ref="D14:M14" si="0">((D5)*10^9/3600)+D12</f>
        <v>224.72287988167852</v>
      </c>
      <c r="E14" s="21">
        <f t="shared" si="0"/>
        <v>303.83163972643177</v>
      </c>
      <c r="F14" s="21"/>
      <c r="G14" s="21">
        <f t="shared" si="0"/>
        <v>129505.13790550092</v>
      </c>
      <c r="H14" s="21">
        <f t="shared" si="0"/>
        <v>25470.038341045471</v>
      </c>
      <c r="I14" s="21"/>
      <c r="J14" s="21"/>
      <c r="K14" s="21"/>
      <c r="L14" s="21"/>
      <c r="M14" s="21">
        <f t="shared" si="0"/>
        <v>8322.3803425352871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0.19400601998868075</v>
      </c>
      <c r="C16" s="56">
        <f ca="1">'EF ele_warmte'!B22</f>
        <v>0.21161206254653761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13.645879152256725</v>
      </c>
      <c r="C18" s="23"/>
      <c r="D18" s="23">
        <f t="shared" ref="D18:M18" si="1">D14*D16</f>
        <v>45.394021736099063</v>
      </c>
      <c r="E18" s="23">
        <f t="shared" si="1"/>
        <v>68.969782217900018</v>
      </c>
      <c r="F18" s="23"/>
      <c r="G18" s="23">
        <f t="shared" si="1"/>
        <v>34577.871820768749</v>
      </c>
      <c r="H18" s="23">
        <f t="shared" si="1"/>
        <v>6342.0395469203222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1.5955263001681215E-2</v>
      </c>
      <c r="H50" s="321">
        <f t="shared" si="2"/>
        <v>0</v>
      </c>
      <c r="I50" s="321">
        <f t="shared" si="2"/>
        <v>0</v>
      </c>
      <c r="J50" s="321">
        <f t="shared" si="2"/>
        <v>0</v>
      </c>
      <c r="K50" s="321">
        <f t="shared" si="2"/>
        <v>0</v>
      </c>
      <c r="L50" s="321">
        <f t="shared" si="2"/>
        <v>0</v>
      </c>
      <c r="M50" s="321">
        <f t="shared" si="2"/>
        <v>9.0618850276823627E-4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1.5955263001681215E-2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9.0618850276823627E-4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4432.0175004670036</v>
      </c>
      <c r="H54" s="21">
        <f t="shared" si="3"/>
        <v>0</v>
      </c>
      <c r="I54" s="21">
        <f t="shared" si="3"/>
        <v>0</v>
      </c>
      <c r="J54" s="21">
        <f t="shared" si="3"/>
        <v>0</v>
      </c>
      <c r="K54" s="21">
        <f t="shared" si="3"/>
        <v>0</v>
      </c>
      <c r="L54" s="21">
        <f t="shared" si="3"/>
        <v>0</v>
      </c>
      <c r="M54" s="21">
        <f t="shared" si="3"/>
        <v>251.71902854673229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0.19400601998868075</v>
      </c>
      <c r="C56" s="56">
        <f ca="1">'EF ele_warmte'!B22</f>
        <v>0.21161206254653761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1183.3486726246899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9999.7782224972216</v>
      </c>
      <c r="C6" s="1204"/>
      <c r="D6" s="1189"/>
      <c r="E6" s="1189"/>
      <c r="F6" s="1207"/>
      <c r="G6" s="1210"/>
      <c r="H6" s="1201"/>
      <c r="I6" s="1189"/>
      <c r="J6" s="1189"/>
      <c r="K6" s="1189"/>
      <c r="L6" s="1193"/>
      <c r="M6" s="575"/>
      <c r="N6" s="1167"/>
      <c r="O6" s="1168"/>
      <c r="Q6" s="573"/>
      <c r="R6" s="1155"/>
      <c r="S6" s="1155"/>
    </row>
    <row r="7" spans="1:19" s="563" customFormat="1">
      <c r="A7" s="576" t="s">
        <v>252</v>
      </c>
      <c r="B7" s="577">
        <f>N57</f>
        <v>65607</v>
      </c>
      <c r="C7" s="578">
        <f>B100</f>
        <v>64555.663362984349</v>
      </c>
      <c r="D7" s="579"/>
      <c r="E7" s="579">
        <f>E100</f>
        <v>3157.2606298421474</v>
      </c>
      <c r="F7" s="580"/>
      <c r="G7" s="581"/>
      <c r="H7" s="579">
        <f>I100</f>
        <v>0</v>
      </c>
      <c r="I7" s="579">
        <f>G100+F100</f>
        <v>9471.7818895264427</v>
      </c>
      <c r="J7" s="579">
        <f>H100+D100+C100</f>
        <v>0</v>
      </c>
      <c r="K7" s="579"/>
      <c r="L7" s="582"/>
      <c r="M7" s="583">
        <f>C7*$C$11+D7*$D$11+E7*$E$11+F7*$F$11+G7*$G$11+H7*$H$11+I7*$I$11+J7*$J$11</f>
        <v>13883.232587490693</v>
      </c>
      <c r="N7" s="1167"/>
      <c r="O7" s="1168"/>
      <c r="Q7" s="573"/>
      <c r="R7" s="1155"/>
      <c r="S7" s="1155"/>
    </row>
    <row r="8" spans="1:19" s="563" customFormat="1" ht="17.45" customHeight="1" thickBot="1">
      <c r="A8" s="584" t="s">
        <v>248</v>
      </c>
      <c r="B8" s="585">
        <f>N88+'Eigen informatie GS &amp; warmtenet'!B12</f>
        <v>9945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28414.285714285717</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85551.778222497218</v>
      </c>
      <c r="C9" s="594">
        <f t="shared" ref="C9:L9" si="0">SUM(C7:C8)</f>
        <v>64555.663362984349</v>
      </c>
      <c r="D9" s="594">
        <f t="shared" si="0"/>
        <v>0</v>
      </c>
      <c r="E9" s="594">
        <f t="shared" si="0"/>
        <v>3157.2606298421474</v>
      </c>
      <c r="F9" s="594">
        <f t="shared" si="0"/>
        <v>0</v>
      </c>
      <c r="G9" s="594">
        <f t="shared" si="0"/>
        <v>0</v>
      </c>
      <c r="H9" s="594">
        <f t="shared" si="0"/>
        <v>0</v>
      </c>
      <c r="I9" s="594">
        <f t="shared" si="0"/>
        <v>9471.7818895264427</v>
      </c>
      <c r="J9" s="594">
        <f t="shared" si="0"/>
        <v>28414.285714285717</v>
      </c>
      <c r="K9" s="594">
        <f t="shared" si="0"/>
        <v>0</v>
      </c>
      <c r="L9" s="594">
        <f t="shared" si="0"/>
        <v>0</v>
      </c>
      <c r="M9" s="595">
        <f>SUM(M4:M8)</f>
        <v>13883.232587490693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90085.07142857142</v>
      </c>
      <c r="C16" s="610">
        <f>B101</f>
        <v>88641.479494158484</v>
      </c>
      <c r="D16" s="611"/>
      <c r="E16" s="611">
        <f>E101</f>
        <v>4335.2393701578521</v>
      </c>
      <c r="F16" s="612"/>
      <c r="G16" s="613"/>
      <c r="H16" s="610">
        <f>I101</f>
        <v>0</v>
      </c>
      <c r="I16" s="611">
        <f>G101+F101</f>
        <v>13005.718110473557</v>
      </c>
      <c r="J16" s="611">
        <f>H101+D101+C101</f>
        <v>0</v>
      </c>
      <c r="K16" s="611"/>
      <c r="L16" s="614"/>
      <c r="M16" s="615">
        <f>C16*$C$21+E16*$E$21+H16*$H$21+I16*$I$21+J16*$J$21+D16*$D$21+F16*$F$21+G16*$G$21+K16*$K$21+L16*$L$21</f>
        <v>19063.087769652164</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90085.07142857142</v>
      </c>
      <c r="C19" s="593">
        <f>SUM(C16:C18)</f>
        <v>88641.479494158484</v>
      </c>
      <c r="D19" s="593">
        <f t="shared" ref="D19:M19" si="1">SUM(D16:D18)</f>
        <v>0</v>
      </c>
      <c r="E19" s="593">
        <f t="shared" si="1"/>
        <v>4335.2393701578521</v>
      </c>
      <c r="F19" s="593">
        <f t="shared" si="1"/>
        <v>0</v>
      </c>
      <c r="G19" s="593">
        <f t="shared" si="1"/>
        <v>0</v>
      </c>
      <c r="H19" s="593">
        <f t="shared" si="1"/>
        <v>0</v>
      </c>
      <c r="I19" s="593">
        <f t="shared" si="1"/>
        <v>13005.718110473557</v>
      </c>
      <c r="J19" s="593">
        <f t="shared" si="1"/>
        <v>0</v>
      </c>
      <c r="K19" s="593">
        <f t="shared" si="1"/>
        <v>0</v>
      </c>
      <c r="L19" s="593">
        <f t="shared" si="1"/>
        <v>0</v>
      </c>
      <c r="M19" s="620">
        <f t="shared" si="1"/>
        <v>19063.087769652164</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12021</v>
      </c>
      <c r="C27" s="851">
        <v>2500</v>
      </c>
      <c r="D27" s="672" t="s">
        <v>809</v>
      </c>
      <c r="E27" s="671" t="s">
        <v>810</v>
      </c>
      <c r="F27" s="671" t="s">
        <v>811</v>
      </c>
      <c r="G27" s="671" t="s">
        <v>812</v>
      </c>
      <c r="H27" s="671" t="s">
        <v>813</v>
      </c>
      <c r="I27" s="671" t="s">
        <v>810</v>
      </c>
      <c r="J27" s="850">
        <v>39386</v>
      </c>
      <c r="K27" s="850">
        <v>39218</v>
      </c>
      <c r="L27" s="671" t="s">
        <v>814</v>
      </c>
      <c r="M27" s="671">
        <v>3116</v>
      </c>
      <c r="N27" s="671">
        <v>14022</v>
      </c>
      <c r="O27" s="671">
        <v>20031.428571428572</v>
      </c>
      <c r="P27" s="671">
        <v>40062.857142857145</v>
      </c>
      <c r="Q27" s="671">
        <v>0</v>
      </c>
      <c r="R27" s="671">
        <v>0</v>
      </c>
      <c r="S27" s="671">
        <v>0</v>
      </c>
      <c r="T27" s="671">
        <v>0</v>
      </c>
      <c r="U27" s="671">
        <v>0</v>
      </c>
      <c r="V27" s="671">
        <v>0</v>
      </c>
      <c r="W27" s="671">
        <v>0</v>
      </c>
      <c r="X27" s="671">
        <v>10</v>
      </c>
      <c r="Y27" s="671" t="s">
        <v>112</v>
      </c>
      <c r="Z27" s="673" t="s">
        <v>112</v>
      </c>
    </row>
    <row r="28" spans="1:26" s="625" customFormat="1" ht="25.5">
      <c r="A28" s="624"/>
      <c r="B28" s="851">
        <v>12021</v>
      </c>
      <c r="C28" s="851">
        <v>2500</v>
      </c>
      <c r="D28" s="672" t="s">
        <v>815</v>
      </c>
      <c r="E28" s="671" t="s">
        <v>816</v>
      </c>
      <c r="F28" s="671" t="s">
        <v>817</v>
      </c>
      <c r="G28" s="671" t="s">
        <v>812</v>
      </c>
      <c r="H28" s="671" t="s">
        <v>813</v>
      </c>
      <c r="I28" s="671" t="s">
        <v>816</v>
      </c>
      <c r="J28" s="850">
        <v>39370</v>
      </c>
      <c r="K28" s="850">
        <v>39444</v>
      </c>
      <c r="L28" s="671" t="s">
        <v>814</v>
      </c>
      <c r="M28" s="671">
        <v>1147</v>
      </c>
      <c r="N28" s="671">
        <v>5161.5</v>
      </c>
      <c r="O28" s="671">
        <v>7373.5714285714284</v>
      </c>
      <c r="P28" s="671">
        <v>14747.142857142859</v>
      </c>
      <c r="Q28" s="671">
        <v>0</v>
      </c>
      <c r="R28" s="671">
        <v>0</v>
      </c>
      <c r="S28" s="671">
        <v>0</v>
      </c>
      <c r="T28" s="671">
        <v>0</v>
      </c>
      <c r="U28" s="671">
        <v>0</v>
      </c>
      <c r="V28" s="671">
        <v>0</v>
      </c>
      <c r="W28" s="671">
        <v>0</v>
      </c>
      <c r="X28" s="671">
        <v>10</v>
      </c>
      <c r="Y28" s="671" t="s">
        <v>112</v>
      </c>
      <c r="Z28" s="673" t="s">
        <v>112</v>
      </c>
    </row>
    <row r="29" spans="1:26" s="625" customFormat="1" ht="38.25">
      <c r="A29" s="624"/>
      <c r="B29" s="851">
        <v>12021</v>
      </c>
      <c r="C29" s="851">
        <v>2500</v>
      </c>
      <c r="D29" s="672" t="s">
        <v>818</v>
      </c>
      <c r="E29" s="671" t="s">
        <v>819</v>
      </c>
      <c r="F29" s="671" t="s">
        <v>820</v>
      </c>
      <c r="G29" s="671" t="s">
        <v>812</v>
      </c>
      <c r="H29" s="671" t="s">
        <v>821</v>
      </c>
      <c r="I29" s="671" t="s">
        <v>819</v>
      </c>
      <c r="J29" s="850">
        <v>40823</v>
      </c>
      <c r="K29" s="850">
        <v>39630</v>
      </c>
      <c r="L29" s="671" t="s">
        <v>814</v>
      </c>
      <c r="M29" s="671">
        <v>2664</v>
      </c>
      <c r="N29" s="671">
        <v>11988</v>
      </c>
      <c r="O29" s="671">
        <v>13486.5</v>
      </c>
      <c r="P29" s="671">
        <v>0</v>
      </c>
      <c r="Q29" s="671">
        <v>0</v>
      </c>
      <c r="R29" s="671">
        <v>0</v>
      </c>
      <c r="S29" s="671">
        <v>7492.5</v>
      </c>
      <c r="T29" s="671">
        <v>0</v>
      </c>
      <c r="U29" s="671">
        <v>22477.5</v>
      </c>
      <c r="V29" s="671">
        <v>0</v>
      </c>
      <c r="W29" s="671">
        <v>0</v>
      </c>
      <c r="X29" s="671">
        <v>10</v>
      </c>
      <c r="Y29" s="671" t="s">
        <v>112</v>
      </c>
      <c r="Z29" s="673" t="s">
        <v>112</v>
      </c>
    </row>
    <row r="30" spans="1:26" s="625" customFormat="1" ht="38.25">
      <c r="A30" s="624"/>
      <c r="B30" s="851">
        <v>12021</v>
      </c>
      <c r="C30" s="851">
        <v>2500</v>
      </c>
      <c r="D30" s="672" t="s">
        <v>822</v>
      </c>
      <c r="E30" s="671" t="s">
        <v>823</v>
      </c>
      <c r="F30" s="671" t="s">
        <v>824</v>
      </c>
      <c r="G30" s="671" t="s">
        <v>812</v>
      </c>
      <c r="H30" s="671" t="s">
        <v>813</v>
      </c>
      <c r="I30" s="671" t="s">
        <v>825</v>
      </c>
      <c r="J30" s="850">
        <v>40016</v>
      </c>
      <c r="K30" s="850">
        <v>40023</v>
      </c>
      <c r="L30" s="671" t="s">
        <v>814</v>
      </c>
      <c r="M30" s="671">
        <v>1008</v>
      </c>
      <c r="N30" s="671">
        <v>4536</v>
      </c>
      <c r="O30" s="671">
        <v>6480</v>
      </c>
      <c r="P30" s="671">
        <v>12960</v>
      </c>
      <c r="Q30" s="671">
        <v>0</v>
      </c>
      <c r="R30" s="671">
        <v>0</v>
      </c>
      <c r="S30" s="671">
        <v>0</v>
      </c>
      <c r="T30" s="671">
        <v>0</v>
      </c>
      <c r="U30" s="671">
        <v>0</v>
      </c>
      <c r="V30" s="671">
        <v>0</v>
      </c>
      <c r="W30" s="671">
        <v>0</v>
      </c>
      <c r="X30" s="671">
        <v>10</v>
      </c>
      <c r="Y30" s="671" t="s">
        <v>112</v>
      </c>
      <c r="Z30" s="673" t="s">
        <v>112</v>
      </c>
    </row>
    <row r="31" spans="1:26" s="625" customFormat="1" ht="25.5">
      <c r="A31" s="624"/>
      <c r="B31" s="851">
        <v>12021</v>
      </c>
      <c r="C31" s="851">
        <v>2500</v>
      </c>
      <c r="D31" s="672" t="s">
        <v>826</v>
      </c>
      <c r="E31" s="671" t="s">
        <v>827</v>
      </c>
      <c r="F31" s="671" t="s">
        <v>828</v>
      </c>
      <c r="G31" s="671" t="s">
        <v>812</v>
      </c>
      <c r="H31" s="671" t="s">
        <v>813</v>
      </c>
      <c r="I31" s="671" t="s">
        <v>829</v>
      </c>
      <c r="J31" s="850">
        <v>39998</v>
      </c>
      <c r="K31" s="850">
        <v>40028</v>
      </c>
      <c r="L31" s="671" t="s">
        <v>814</v>
      </c>
      <c r="M31" s="671">
        <v>1562</v>
      </c>
      <c r="N31" s="671">
        <v>7029</v>
      </c>
      <c r="O31" s="671">
        <v>10041.428571428572</v>
      </c>
      <c r="P31" s="671">
        <v>20082.857142857145</v>
      </c>
      <c r="Q31" s="671">
        <v>0</v>
      </c>
      <c r="R31" s="671">
        <v>0</v>
      </c>
      <c r="S31" s="671">
        <v>0</v>
      </c>
      <c r="T31" s="671">
        <v>0</v>
      </c>
      <c r="U31" s="671">
        <v>0</v>
      </c>
      <c r="V31" s="671">
        <v>0</v>
      </c>
      <c r="W31" s="671">
        <v>0</v>
      </c>
      <c r="X31" s="671">
        <v>10</v>
      </c>
      <c r="Y31" s="671" t="s">
        <v>112</v>
      </c>
      <c r="Z31" s="673" t="s">
        <v>112</v>
      </c>
    </row>
    <row r="32" spans="1:26" s="625" customFormat="1" ht="25.5">
      <c r="A32" s="624"/>
      <c r="B32" s="851">
        <v>12021</v>
      </c>
      <c r="C32" s="851">
        <v>2500</v>
      </c>
      <c r="D32" s="672" t="s">
        <v>830</v>
      </c>
      <c r="E32" s="671" t="s">
        <v>831</v>
      </c>
      <c r="F32" s="671" t="s">
        <v>832</v>
      </c>
      <c r="G32" s="671" t="s">
        <v>812</v>
      </c>
      <c r="H32" s="671" t="s">
        <v>813</v>
      </c>
      <c r="I32" s="671" t="s">
        <v>831</v>
      </c>
      <c r="J32" s="850">
        <v>40043</v>
      </c>
      <c r="K32" s="850">
        <v>40043</v>
      </c>
      <c r="L32" s="671" t="s">
        <v>814</v>
      </c>
      <c r="M32" s="671">
        <v>2425</v>
      </c>
      <c r="N32" s="671">
        <v>10912.5</v>
      </c>
      <c r="O32" s="671">
        <v>15589.285714285714</v>
      </c>
      <c r="P32" s="671">
        <v>31178.571428571431</v>
      </c>
      <c r="Q32" s="671">
        <v>0</v>
      </c>
      <c r="R32" s="671">
        <v>0</v>
      </c>
      <c r="S32" s="671">
        <v>0</v>
      </c>
      <c r="T32" s="671">
        <v>0</v>
      </c>
      <c r="U32" s="671">
        <v>0</v>
      </c>
      <c r="V32" s="671">
        <v>0</v>
      </c>
      <c r="W32" s="671">
        <v>0</v>
      </c>
      <c r="X32" s="671">
        <v>10</v>
      </c>
      <c r="Y32" s="671" t="s">
        <v>112</v>
      </c>
      <c r="Z32" s="673" t="s">
        <v>112</v>
      </c>
    </row>
    <row r="33" spans="1:26" s="625" customFormat="1" ht="25.5">
      <c r="A33" s="624"/>
      <c r="B33" s="851">
        <v>12021</v>
      </c>
      <c r="C33" s="851">
        <v>2500</v>
      </c>
      <c r="D33" s="672" t="s">
        <v>833</v>
      </c>
      <c r="E33" s="671" t="s">
        <v>834</v>
      </c>
      <c r="F33" s="671" t="s">
        <v>835</v>
      </c>
      <c r="G33" s="671" t="s">
        <v>812</v>
      </c>
      <c r="H33" s="671" t="s">
        <v>813</v>
      </c>
      <c r="I33" s="671" t="s">
        <v>834</v>
      </c>
      <c r="J33" s="850">
        <v>40619</v>
      </c>
      <c r="K33" s="850">
        <v>40619</v>
      </c>
      <c r="L33" s="671" t="s">
        <v>814</v>
      </c>
      <c r="M33" s="671">
        <v>1184</v>
      </c>
      <c r="N33" s="671">
        <v>5328</v>
      </c>
      <c r="O33" s="671">
        <v>7611.4285714285716</v>
      </c>
      <c r="P33" s="671">
        <v>15222.857142857143</v>
      </c>
      <c r="Q33" s="671">
        <v>0</v>
      </c>
      <c r="R33" s="671">
        <v>0</v>
      </c>
      <c r="S33" s="671">
        <v>0</v>
      </c>
      <c r="T33" s="671">
        <v>0</v>
      </c>
      <c r="U33" s="671">
        <v>0</v>
      </c>
      <c r="V33" s="671">
        <v>0</v>
      </c>
      <c r="W33" s="671">
        <v>0</v>
      </c>
      <c r="X33" s="671">
        <v>10</v>
      </c>
      <c r="Y33" s="671" t="s">
        <v>112</v>
      </c>
      <c r="Z33" s="673" t="s">
        <v>112</v>
      </c>
    </row>
    <row r="34" spans="1:26" s="625" customFormat="1" ht="38.25">
      <c r="A34" s="624"/>
      <c r="B34" s="851">
        <v>12021</v>
      </c>
      <c r="C34" s="851">
        <v>2500</v>
      </c>
      <c r="D34" s="672" t="s">
        <v>836</v>
      </c>
      <c r="E34" s="671" t="s">
        <v>837</v>
      </c>
      <c r="F34" s="671" t="s">
        <v>838</v>
      </c>
      <c r="G34" s="671" t="s">
        <v>812</v>
      </c>
      <c r="H34" s="671" t="s">
        <v>813</v>
      </c>
      <c r="I34" s="671" t="s">
        <v>839</v>
      </c>
      <c r="J34" s="850">
        <v>41393</v>
      </c>
      <c r="K34" s="850">
        <v>41659</v>
      </c>
      <c r="L34" s="671" t="s">
        <v>814</v>
      </c>
      <c r="M34" s="671">
        <v>140</v>
      </c>
      <c r="N34" s="671">
        <v>630.00000000000011</v>
      </c>
      <c r="O34" s="671">
        <v>900.00000000000023</v>
      </c>
      <c r="P34" s="671">
        <v>1800.0000000000005</v>
      </c>
      <c r="Q34" s="671">
        <v>0</v>
      </c>
      <c r="R34" s="671">
        <v>0</v>
      </c>
      <c r="S34" s="671">
        <v>0</v>
      </c>
      <c r="T34" s="671">
        <v>0</v>
      </c>
      <c r="U34" s="671">
        <v>0</v>
      </c>
      <c r="V34" s="671">
        <v>0</v>
      </c>
      <c r="W34" s="671">
        <v>0</v>
      </c>
      <c r="X34" s="671">
        <v>1500</v>
      </c>
      <c r="Y34" s="671" t="s">
        <v>51</v>
      </c>
      <c r="Z34" s="673" t="s">
        <v>156</v>
      </c>
    </row>
    <row r="35" spans="1:26" s="625" customFormat="1" ht="25.5">
      <c r="A35" s="624"/>
      <c r="B35" s="851">
        <v>12021</v>
      </c>
      <c r="C35" s="851">
        <v>2500</v>
      </c>
      <c r="D35" s="672"/>
      <c r="E35" s="671"/>
      <c r="F35" s="671" t="s">
        <v>840</v>
      </c>
      <c r="G35" s="671" t="s">
        <v>812</v>
      </c>
      <c r="H35" s="671" t="s">
        <v>813</v>
      </c>
      <c r="I35" s="671" t="s">
        <v>841</v>
      </c>
      <c r="J35" s="850">
        <v>41990</v>
      </c>
      <c r="K35" s="850">
        <v>42188</v>
      </c>
      <c r="L35" s="671" t="s">
        <v>814</v>
      </c>
      <c r="M35" s="671">
        <v>2000</v>
      </c>
      <c r="N35" s="671">
        <v>3750</v>
      </c>
      <c r="O35" s="671">
        <v>5357.1428571428569</v>
      </c>
      <c r="P35" s="671">
        <v>10714.285714285716</v>
      </c>
      <c r="Q35" s="671">
        <v>0</v>
      </c>
      <c r="R35" s="671">
        <v>0</v>
      </c>
      <c r="S35" s="671">
        <v>0</v>
      </c>
      <c r="T35" s="671">
        <v>0</v>
      </c>
      <c r="U35" s="671">
        <v>0</v>
      </c>
      <c r="V35" s="671">
        <v>0</v>
      </c>
      <c r="W35" s="671">
        <v>0</v>
      </c>
      <c r="X35" s="671">
        <v>10</v>
      </c>
      <c r="Y35" s="671" t="s">
        <v>842</v>
      </c>
      <c r="Z35" s="673" t="s">
        <v>112</v>
      </c>
    </row>
    <row r="36" spans="1:26" s="625" customFormat="1" ht="25.5">
      <c r="A36" s="624"/>
      <c r="B36" s="851">
        <v>12021</v>
      </c>
      <c r="C36" s="851">
        <v>2500</v>
      </c>
      <c r="D36" s="672" t="s">
        <v>843</v>
      </c>
      <c r="E36" s="671"/>
      <c r="F36" s="671" t="s">
        <v>844</v>
      </c>
      <c r="G36" s="671" t="s">
        <v>845</v>
      </c>
      <c r="H36" s="671" t="s">
        <v>813</v>
      </c>
      <c r="I36" s="671" t="s">
        <v>846</v>
      </c>
      <c r="J36" s="850">
        <v>42564</v>
      </c>
      <c r="K36" s="850">
        <v>42598</v>
      </c>
      <c r="L36" s="671" t="s">
        <v>847</v>
      </c>
      <c r="M36" s="671">
        <v>1500</v>
      </c>
      <c r="N36" s="671">
        <v>2250</v>
      </c>
      <c r="O36" s="671">
        <v>3214.2857142857142</v>
      </c>
      <c r="P36" s="671">
        <v>6428.5714285714294</v>
      </c>
      <c r="Q36" s="671">
        <v>0</v>
      </c>
      <c r="R36" s="671">
        <v>0</v>
      </c>
      <c r="S36" s="671">
        <v>0</v>
      </c>
      <c r="T36" s="671">
        <v>0</v>
      </c>
      <c r="U36" s="671">
        <v>0</v>
      </c>
      <c r="V36" s="671">
        <v>0</v>
      </c>
      <c r="W36" s="671">
        <v>0</v>
      </c>
      <c r="X36" s="671">
        <v>10</v>
      </c>
      <c r="Y36" s="671" t="s">
        <v>112</v>
      </c>
      <c r="Z36" s="673" t="s">
        <v>112</v>
      </c>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16746</v>
      </c>
      <c r="N57" s="629">
        <f>SUM(N27:N56)</f>
        <v>65607</v>
      </c>
      <c r="O57" s="629">
        <f t="shared" ref="O57:W57" si="2">SUM(O27:O56)</f>
        <v>90085.07142857142</v>
      </c>
      <c r="P57" s="629">
        <f t="shared" si="2"/>
        <v>153197.14285714284</v>
      </c>
      <c r="Q57" s="629">
        <f t="shared" si="2"/>
        <v>0</v>
      </c>
      <c r="R57" s="629">
        <f t="shared" si="2"/>
        <v>0</v>
      </c>
      <c r="S57" s="629">
        <f t="shared" si="2"/>
        <v>7492.5</v>
      </c>
      <c r="T57" s="629">
        <f t="shared" si="2"/>
        <v>0</v>
      </c>
      <c r="U57" s="629">
        <f t="shared" si="2"/>
        <v>22477.5</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140</v>
      </c>
      <c r="N59" s="629">
        <f ca="1">SUMIF($Z$27:AB56,"tertiair",N27:N56)</f>
        <v>630.00000000000011</v>
      </c>
      <c r="O59" s="629">
        <f ca="1">SUMIF($Z$27:AC56,"tertiair",O27:O56)</f>
        <v>900.00000000000023</v>
      </c>
      <c r="P59" s="629">
        <f ca="1">SUMIF($Z$27:AD56,"tertiair",P27:P56)</f>
        <v>1800.0000000000005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16606</v>
      </c>
      <c r="N60" s="634">
        <f t="shared" ref="N60:W60" si="4">SUMIF($Z$27:$Z$56,"landbouw",N27:N56)</f>
        <v>64977</v>
      </c>
      <c r="O60" s="634">
        <f t="shared" si="4"/>
        <v>89185.07142857142</v>
      </c>
      <c r="P60" s="634">
        <f t="shared" si="4"/>
        <v>151397.14285714284</v>
      </c>
      <c r="Q60" s="634">
        <f t="shared" si="4"/>
        <v>0</v>
      </c>
      <c r="R60" s="634">
        <f t="shared" si="4"/>
        <v>0</v>
      </c>
      <c r="S60" s="634">
        <f t="shared" si="4"/>
        <v>7492.5</v>
      </c>
      <c r="T60" s="634">
        <f t="shared" si="4"/>
        <v>0</v>
      </c>
      <c r="U60" s="634">
        <f t="shared" si="4"/>
        <v>22477.5</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12021</v>
      </c>
      <c r="C63" s="851">
        <v>2500</v>
      </c>
      <c r="D63" s="674" t="s">
        <v>848</v>
      </c>
      <c r="E63" s="674" t="s">
        <v>849</v>
      </c>
      <c r="F63" s="674" t="s">
        <v>850</v>
      </c>
      <c r="G63" s="674" t="s">
        <v>851</v>
      </c>
      <c r="H63" s="674" t="s">
        <v>852</v>
      </c>
      <c r="I63" s="674" t="s">
        <v>834</v>
      </c>
      <c r="J63" s="850">
        <v>34973</v>
      </c>
      <c r="K63" s="850">
        <v>37681</v>
      </c>
      <c r="L63" s="674" t="s">
        <v>853</v>
      </c>
      <c r="M63" s="674">
        <v>2210</v>
      </c>
      <c r="N63" s="674">
        <v>9945</v>
      </c>
      <c r="O63" s="674">
        <v>0</v>
      </c>
      <c r="P63" s="674">
        <v>0</v>
      </c>
      <c r="Q63" s="674">
        <v>0</v>
      </c>
      <c r="R63" s="674">
        <v>28414.285714285717</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2210</v>
      </c>
      <c r="N88" s="629">
        <f t="shared" ref="N88:W88" si="5">SUM(N63:N87)</f>
        <v>9945</v>
      </c>
      <c r="O88" s="629">
        <f t="shared" si="5"/>
        <v>0</v>
      </c>
      <c r="P88" s="629">
        <f t="shared" si="5"/>
        <v>0</v>
      </c>
      <c r="Q88" s="629">
        <f t="shared" si="5"/>
        <v>0</v>
      </c>
      <c r="R88" s="629">
        <f t="shared" si="5"/>
        <v>28414.285714285717</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2210</v>
      </c>
      <c r="N90" s="629">
        <f t="shared" ref="N90:W90" si="7">SUMIF($Z$63:$Z$88,"tertiair",N63:N88)</f>
        <v>9945</v>
      </c>
      <c r="O90" s="629">
        <f t="shared" si="7"/>
        <v>0</v>
      </c>
      <c r="P90" s="629">
        <f t="shared" si="7"/>
        <v>0</v>
      </c>
      <c r="Q90" s="629">
        <f t="shared" si="7"/>
        <v>0</v>
      </c>
      <c r="R90" s="629">
        <f t="shared" si="7"/>
        <v>28414.285714285717</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0.57861052654759459</v>
      </c>
      <c r="C97" s="654">
        <f>IF(ISERROR(N57/(O57+N57)),0,N57/(N57+O57))</f>
        <v>0.42138947345240541</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64555.663362984349</v>
      </c>
      <c r="C100" s="663">
        <f t="shared" si="9"/>
        <v>0</v>
      </c>
      <c r="D100" s="663">
        <f t="shared" si="9"/>
        <v>0</v>
      </c>
      <c r="E100" s="663">
        <f t="shared" si="9"/>
        <v>3157.2606298421474</v>
      </c>
      <c r="F100" s="663">
        <f t="shared" si="9"/>
        <v>0</v>
      </c>
      <c r="G100" s="663">
        <f t="shared" si="9"/>
        <v>9471.7818895264427</v>
      </c>
      <c r="H100" s="663">
        <f t="shared" si="9"/>
        <v>0</v>
      </c>
      <c r="I100" s="664">
        <f t="shared" si="9"/>
        <v>0</v>
      </c>
      <c r="J100" s="621"/>
      <c r="K100" s="621"/>
      <c r="L100" s="659"/>
      <c r="M100" s="646"/>
      <c r="N100" s="646"/>
    </row>
    <row r="101" spans="1:14" ht="15.75" thickBot="1">
      <c r="A101" s="665" t="s">
        <v>286</v>
      </c>
      <c r="B101" s="666">
        <f>$B$97*P57</f>
        <v>88641.479494158484</v>
      </c>
      <c r="C101" s="666">
        <f t="shared" ref="C101:H101" si="10">$B$97*Q57</f>
        <v>0</v>
      </c>
      <c r="D101" s="666">
        <f t="shared" si="10"/>
        <v>0</v>
      </c>
      <c r="E101" s="666">
        <f t="shared" si="10"/>
        <v>4335.2393701578521</v>
      </c>
      <c r="F101" s="666">
        <f t="shared" si="10"/>
        <v>0</v>
      </c>
      <c r="G101" s="666">
        <f t="shared" si="10"/>
        <v>13005.718110473557</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74795.212261010311</v>
      </c>
      <c r="D10" s="718">
        <f ca="1">tertiair!C16</f>
        <v>900.00000000000023</v>
      </c>
      <c r="E10" s="718">
        <f ca="1">tertiair!D16</f>
        <v>68718.806320351781</v>
      </c>
      <c r="F10" s="718">
        <f>tertiair!E16</f>
        <v>944.31256220071134</v>
      </c>
      <c r="G10" s="718">
        <f ca="1">tertiair!F16</f>
        <v>10869.216956808294</v>
      </c>
      <c r="H10" s="718">
        <f>tertiair!G16</f>
        <v>0</v>
      </c>
      <c r="I10" s="718">
        <f>tertiair!H16</f>
        <v>0</v>
      </c>
      <c r="J10" s="718">
        <f>tertiair!I16</f>
        <v>0</v>
      </c>
      <c r="K10" s="718">
        <f>tertiair!J16</f>
        <v>0.1444967222597891</v>
      </c>
      <c r="L10" s="718">
        <f>tertiair!K16</f>
        <v>0</v>
      </c>
      <c r="M10" s="718">
        <f ca="1">tertiair!L16</f>
        <v>0</v>
      </c>
      <c r="N10" s="718">
        <f>tertiair!M16</f>
        <v>0</v>
      </c>
      <c r="O10" s="718">
        <f ca="1">tertiair!N16</f>
        <v>0</v>
      </c>
      <c r="P10" s="718">
        <f>tertiair!O16</f>
        <v>6.2533333333333339</v>
      </c>
      <c r="Q10" s="719">
        <f>tertiair!P16</f>
        <v>114.4</v>
      </c>
      <c r="R10" s="721">
        <f ca="1">SUM(C10:Q10)</f>
        <v>156348.34593042667</v>
      </c>
      <c r="S10" s="67"/>
    </row>
    <row r="11" spans="1:19" s="474" customFormat="1">
      <c r="A11" s="870" t="s">
        <v>225</v>
      </c>
      <c r="B11" s="875"/>
      <c r="C11" s="718">
        <f>huishoudens!B8</f>
        <v>57650.797774064587</v>
      </c>
      <c r="D11" s="718">
        <f>huishoudens!C8</f>
        <v>0</v>
      </c>
      <c r="E11" s="718">
        <f>huishoudens!D8</f>
        <v>172061.84715024999</v>
      </c>
      <c r="F11" s="718">
        <f>huishoudens!E8</f>
        <v>3788.7214162274718</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9857.3628019765492</v>
      </c>
      <c r="P11" s="718">
        <f>huishoudens!O8</f>
        <v>334.55333333333334</v>
      </c>
      <c r="Q11" s="719">
        <f>huishoudens!P8</f>
        <v>1258.4000000000001</v>
      </c>
      <c r="R11" s="721">
        <f>SUM(C11:Q11)</f>
        <v>244951.68247585194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50582.97472487246</v>
      </c>
      <c r="D13" s="718">
        <f>industrie!C18</f>
        <v>0</v>
      </c>
      <c r="E13" s="718">
        <f>industrie!D18</f>
        <v>43974.242452353152</v>
      </c>
      <c r="F13" s="718">
        <f>industrie!E18</f>
        <v>2211.4823460821472</v>
      </c>
      <c r="G13" s="718">
        <f>industrie!F18</f>
        <v>8851.6162277385065</v>
      </c>
      <c r="H13" s="718">
        <f>industrie!G18</f>
        <v>0</v>
      </c>
      <c r="I13" s="718">
        <f>industrie!H18</f>
        <v>0</v>
      </c>
      <c r="J13" s="718">
        <f>industrie!I18</f>
        <v>0</v>
      </c>
      <c r="K13" s="718">
        <f>industrie!J18</f>
        <v>36.320086529155084</v>
      </c>
      <c r="L13" s="718">
        <f>industrie!K18</f>
        <v>0</v>
      </c>
      <c r="M13" s="718">
        <f>industrie!L18</f>
        <v>0</v>
      </c>
      <c r="N13" s="718">
        <f>industrie!M18</f>
        <v>0</v>
      </c>
      <c r="O13" s="718">
        <f>industrie!N18</f>
        <v>12827.820005682745</v>
      </c>
      <c r="P13" s="718">
        <f>industrie!O18</f>
        <v>0</v>
      </c>
      <c r="Q13" s="719">
        <f>industrie!P18</f>
        <v>0</v>
      </c>
      <c r="R13" s="721">
        <f>SUM(C13:Q13)</f>
        <v>118484.45584325817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183028.98475994734</v>
      </c>
      <c r="D15" s="723">
        <f t="shared" ref="D15:Q15" ca="1" si="0">SUM(D9:D14)</f>
        <v>900.00000000000023</v>
      </c>
      <c r="E15" s="723">
        <f t="shared" ca="1" si="0"/>
        <v>284754.89592295489</v>
      </c>
      <c r="F15" s="723">
        <f t="shared" si="0"/>
        <v>6944.5163245103304</v>
      </c>
      <c r="G15" s="723">
        <f t="shared" ca="1" si="0"/>
        <v>19720.833184546798</v>
      </c>
      <c r="H15" s="723">
        <f t="shared" si="0"/>
        <v>0</v>
      </c>
      <c r="I15" s="723">
        <f t="shared" si="0"/>
        <v>0</v>
      </c>
      <c r="J15" s="723">
        <f t="shared" si="0"/>
        <v>0</v>
      </c>
      <c r="K15" s="723">
        <f t="shared" si="0"/>
        <v>36.464583251414872</v>
      </c>
      <c r="L15" s="723">
        <f t="shared" si="0"/>
        <v>0</v>
      </c>
      <c r="M15" s="723">
        <f t="shared" ca="1" si="0"/>
        <v>0</v>
      </c>
      <c r="N15" s="723">
        <f t="shared" si="0"/>
        <v>0</v>
      </c>
      <c r="O15" s="723">
        <f t="shared" ca="1" si="0"/>
        <v>22685.182807659294</v>
      </c>
      <c r="P15" s="723">
        <f t="shared" si="0"/>
        <v>340.80666666666667</v>
      </c>
      <c r="Q15" s="724">
        <f t="shared" si="0"/>
        <v>1372.8000000000002</v>
      </c>
      <c r="R15" s="725">
        <f ca="1">SUM(R9:R14)</f>
        <v>519784.48424953676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4432.0175004670036</v>
      </c>
      <c r="I18" s="718">
        <f>transport!H54</f>
        <v>0</v>
      </c>
      <c r="J18" s="718">
        <f>transport!I54</f>
        <v>0</v>
      </c>
      <c r="K18" s="718">
        <f>transport!J54</f>
        <v>0</v>
      </c>
      <c r="L18" s="718">
        <f>transport!K54</f>
        <v>0</v>
      </c>
      <c r="M18" s="718">
        <f>transport!L54</f>
        <v>0</v>
      </c>
      <c r="N18" s="718">
        <f>transport!M54</f>
        <v>251.71902854673229</v>
      </c>
      <c r="O18" s="718">
        <f>transport!N54</f>
        <v>0</v>
      </c>
      <c r="P18" s="718">
        <f>transport!O54</f>
        <v>0</v>
      </c>
      <c r="Q18" s="719">
        <f>transport!P54</f>
        <v>0</v>
      </c>
      <c r="R18" s="721">
        <f>SUM(C18:Q18)</f>
        <v>4683.7365290137359</v>
      </c>
      <c r="S18" s="67"/>
    </row>
    <row r="19" spans="1:19" s="474" customFormat="1" ht="15" thickBot="1">
      <c r="A19" s="870" t="s">
        <v>307</v>
      </c>
      <c r="B19" s="875"/>
      <c r="C19" s="727">
        <f>transport!B14</f>
        <v>70.337400628356235</v>
      </c>
      <c r="D19" s="727">
        <f>transport!C14</f>
        <v>0</v>
      </c>
      <c r="E19" s="727">
        <f>transport!D14</f>
        <v>224.72287988167852</v>
      </c>
      <c r="F19" s="727">
        <f>transport!E14</f>
        <v>303.83163972643177</v>
      </c>
      <c r="G19" s="727">
        <f>transport!F14</f>
        <v>0</v>
      </c>
      <c r="H19" s="727">
        <f>transport!G14</f>
        <v>129505.13790550092</v>
      </c>
      <c r="I19" s="727">
        <f>transport!H14</f>
        <v>25470.038341045471</v>
      </c>
      <c r="J19" s="727">
        <f>transport!I14</f>
        <v>0</v>
      </c>
      <c r="K19" s="727">
        <f>transport!J14</f>
        <v>0</v>
      </c>
      <c r="L19" s="727">
        <f>transport!K14</f>
        <v>0</v>
      </c>
      <c r="M19" s="727">
        <f>transport!L14</f>
        <v>0</v>
      </c>
      <c r="N19" s="727">
        <f>transport!M14</f>
        <v>8322.3803425352871</v>
      </c>
      <c r="O19" s="727">
        <f>transport!N14</f>
        <v>0</v>
      </c>
      <c r="P19" s="727">
        <f>transport!O14</f>
        <v>0</v>
      </c>
      <c r="Q19" s="728">
        <f>transport!P14</f>
        <v>0</v>
      </c>
      <c r="R19" s="729">
        <f>SUM(C19:Q19)</f>
        <v>163896.44850931814</v>
      </c>
      <c r="S19" s="67"/>
    </row>
    <row r="20" spans="1:19" s="474" customFormat="1" ht="15.75" thickBot="1">
      <c r="A20" s="730" t="s">
        <v>230</v>
      </c>
      <c r="B20" s="878"/>
      <c r="C20" s="873">
        <f>SUM(C17:C19)</f>
        <v>70.337400628356235</v>
      </c>
      <c r="D20" s="731">
        <f t="shared" ref="D20:R20" si="1">SUM(D17:D19)</f>
        <v>0</v>
      </c>
      <c r="E20" s="731">
        <f t="shared" si="1"/>
        <v>224.72287988167852</v>
      </c>
      <c r="F20" s="731">
        <f t="shared" si="1"/>
        <v>303.83163972643177</v>
      </c>
      <c r="G20" s="731">
        <f t="shared" si="1"/>
        <v>0</v>
      </c>
      <c r="H20" s="731">
        <f t="shared" si="1"/>
        <v>133937.15540596793</v>
      </c>
      <c r="I20" s="731">
        <f t="shared" si="1"/>
        <v>25470.038341045471</v>
      </c>
      <c r="J20" s="731">
        <f t="shared" si="1"/>
        <v>0</v>
      </c>
      <c r="K20" s="731">
        <f t="shared" si="1"/>
        <v>0</v>
      </c>
      <c r="L20" s="731">
        <f t="shared" si="1"/>
        <v>0</v>
      </c>
      <c r="M20" s="731">
        <f t="shared" si="1"/>
        <v>0</v>
      </c>
      <c r="N20" s="731">
        <f t="shared" si="1"/>
        <v>8574.0993710820203</v>
      </c>
      <c r="O20" s="731">
        <f t="shared" si="1"/>
        <v>0</v>
      </c>
      <c r="P20" s="731">
        <f t="shared" si="1"/>
        <v>0</v>
      </c>
      <c r="Q20" s="732">
        <f t="shared" si="1"/>
        <v>0</v>
      </c>
      <c r="R20" s="733">
        <f t="shared" si="1"/>
        <v>168580.18503833187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3005.5203848592732</v>
      </c>
      <c r="D22" s="727">
        <f>+landbouw!C8</f>
        <v>89185.07142857142</v>
      </c>
      <c r="E22" s="727">
        <f>+landbouw!D8</f>
        <v>34286.934311196121</v>
      </c>
      <c r="F22" s="727">
        <f>+landbouw!E8</f>
        <v>88.341424029829383</v>
      </c>
      <c r="G22" s="727">
        <f>+landbouw!F8</f>
        <v>5028.3355135266465</v>
      </c>
      <c r="H22" s="727">
        <f>+landbouw!G8</f>
        <v>0</v>
      </c>
      <c r="I22" s="727">
        <f>+landbouw!H8</f>
        <v>0</v>
      </c>
      <c r="J22" s="727">
        <f>+landbouw!I8</f>
        <v>0</v>
      </c>
      <c r="K22" s="727">
        <f>+landbouw!J8</f>
        <v>435.43535947701258</v>
      </c>
      <c r="L22" s="727">
        <f>+landbouw!K8</f>
        <v>0</v>
      </c>
      <c r="M22" s="727">
        <f>+landbouw!L8</f>
        <v>0</v>
      </c>
      <c r="N22" s="727">
        <f>+landbouw!M8</f>
        <v>0</v>
      </c>
      <c r="O22" s="727">
        <f>+landbouw!N8</f>
        <v>0</v>
      </c>
      <c r="P22" s="727">
        <f>+landbouw!O8</f>
        <v>0</v>
      </c>
      <c r="Q22" s="728">
        <f>+landbouw!P8</f>
        <v>0</v>
      </c>
      <c r="R22" s="729">
        <f>SUM(C22:Q22)</f>
        <v>132029.63842166029</v>
      </c>
      <c r="S22" s="67"/>
    </row>
    <row r="23" spans="1:19" s="474" customFormat="1" ht="17.25" thickTop="1" thickBot="1">
      <c r="A23" s="734" t="s">
        <v>116</v>
      </c>
      <c r="B23" s="864"/>
      <c r="C23" s="735">
        <f ca="1">C20+C15+C22</f>
        <v>186104.84254543498</v>
      </c>
      <c r="D23" s="735">
        <f t="shared" ref="D23:Q23" ca="1" si="2">D20+D15+D22</f>
        <v>90085.07142857142</v>
      </c>
      <c r="E23" s="735">
        <f t="shared" ca="1" si="2"/>
        <v>319266.55311403272</v>
      </c>
      <c r="F23" s="735">
        <f t="shared" si="2"/>
        <v>7336.6893882665918</v>
      </c>
      <c r="G23" s="735">
        <f t="shared" ca="1" si="2"/>
        <v>24749.168698073445</v>
      </c>
      <c r="H23" s="735">
        <f t="shared" si="2"/>
        <v>133937.15540596793</v>
      </c>
      <c r="I23" s="735">
        <f t="shared" si="2"/>
        <v>25470.038341045471</v>
      </c>
      <c r="J23" s="735">
        <f t="shared" si="2"/>
        <v>0</v>
      </c>
      <c r="K23" s="735">
        <f t="shared" si="2"/>
        <v>471.89994272842745</v>
      </c>
      <c r="L23" s="735">
        <f t="shared" si="2"/>
        <v>0</v>
      </c>
      <c r="M23" s="735">
        <f t="shared" ca="1" si="2"/>
        <v>0</v>
      </c>
      <c r="N23" s="735">
        <f t="shared" si="2"/>
        <v>8574.0993710820203</v>
      </c>
      <c r="O23" s="735">
        <f t="shared" ca="1" si="2"/>
        <v>22685.182807659294</v>
      </c>
      <c r="P23" s="735">
        <f t="shared" si="2"/>
        <v>340.80666666666667</v>
      </c>
      <c r="Q23" s="736">
        <f t="shared" si="2"/>
        <v>1372.8000000000002</v>
      </c>
      <c r="R23" s="737">
        <f ca="1">R20+R15+R22</f>
        <v>820394.30770952895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14510.721444967185</v>
      </c>
      <c r="D36" s="718">
        <f ca="1">tertiair!C20</f>
        <v>190.45085629188389</v>
      </c>
      <c r="E36" s="718">
        <f ca="1">tertiair!D20</f>
        <v>13881.198876711062</v>
      </c>
      <c r="F36" s="718">
        <f>tertiair!E20</f>
        <v>214.35895161956148</v>
      </c>
      <c r="G36" s="718">
        <f ca="1">tertiair!F20</f>
        <v>2902.0809274678145</v>
      </c>
      <c r="H36" s="718">
        <f>tertiair!G20</f>
        <v>0</v>
      </c>
      <c r="I36" s="718">
        <f>tertiair!H20</f>
        <v>0</v>
      </c>
      <c r="J36" s="718">
        <f>tertiair!I20</f>
        <v>0</v>
      </c>
      <c r="K36" s="718">
        <f>tertiair!J20</f>
        <v>5.1151839679965339E-2</v>
      </c>
      <c r="L36" s="718">
        <f>tertiair!K20</f>
        <v>0</v>
      </c>
      <c r="M36" s="718">
        <f ca="1">tertiair!L20</f>
        <v>0</v>
      </c>
      <c r="N36" s="718">
        <f>tertiair!M20</f>
        <v>0</v>
      </c>
      <c r="O36" s="718">
        <f ca="1">tertiair!N20</f>
        <v>0</v>
      </c>
      <c r="P36" s="718">
        <f>tertiair!O20</f>
        <v>0</v>
      </c>
      <c r="Q36" s="828">
        <f>tertiair!P20</f>
        <v>0</v>
      </c>
      <c r="R36" s="917">
        <f ca="1">SUM(C36:Q36)</f>
        <v>31698.862208897186</v>
      </c>
    </row>
    <row r="37" spans="1:18">
      <c r="A37" s="885" t="s">
        <v>225</v>
      </c>
      <c r="B37" s="892"/>
      <c r="C37" s="718">
        <f ca="1">huishoudens!B12</f>
        <v>11184.601825318567</v>
      </c>
      <c r="D37" s="718">
        <f ca="1">huishoudens!C12</f>
        <v>0</v>
      </c>
      <c r="E37" s="718">
        <f>huishoudens!D12</f>
        <v>34756.493124350498</v>
      </c>
      <c r="F37" s="718">
        <f>huishoudens!E12</f>
        <v>860.03976148363608</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46801.134711152699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9813.4016055605389</v>
      </c>
      <c r="D39" s="718">
        <f ca="1">industrie!C22</f>
        <v>0</v>
      </c>
      <c r="E39" s="718">
        <f>industrie!D22</f>
        <v>8882.7969753753368</v>
      </c>
      <c r="F39" s="718">
        <f>industrie!E22</f>
        <v>502.00649256064742</v>
      </c>
      <c r="G39" s="718">
        <f>industrie!F22</f>
        <v>2363.3815328061814</v>
      </c>
      <c r="H39" s="718">
        <f>industrie!G22</f>
        <v>0</v>
      </c>
      <c r="I39" s="718">
        <f>industrie!H22</f>
        <v>0</v>
      </c>
      <c r="J39" s="718">
        <f>industrie!I22</f>
        <v>0</v>
      </c>
      <c r="K39" s="718">
        <f>industrie!J22</f>
        <v>12.8573106313209</v>
      </c>
      <c r="L39" s="718">
        <f>industrie!K22</f>
        <v>0</v>
      </c>
      <c r="M39" s="718">
        <f>industrie!L22</f>
        <v>0</v>
      </c>
      <c r="N39" s="718">
        <f>industrie!M22</f>
        <v>0</v>
      </c>
      <c r="O39" s="718">
        <f>industrie!N22</f>
        <v>0</v>
      </c>
      <c r="P39" s="718">
        <f>industrie!O22</f>
        <v>0</v>
      </c>
      <c r="Q39" s="828">
        <f>industrie!P22</f>
        <v>0</v>
      </c>
      <c r="R39" s="918">
        <f ca="1">SUM(C39:Q39)</f>
        <v>21574.443916934022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35508.724875846288</v>
      </c>
      <c r="D41" s="763">
        <f t="shared" ref="D41:R41" ca="1" si="4">SUM(D35:D40)</f>
        <v>190.45085629188389</v>
      </c>
      <c r="E41" s="763">
        <f t="shared" ca="1" si="4"/>
        <v>57520.488976436893</v>
      </c>
      <c r="F41" s="763">
        <f t="shared" si="4"/>
        <v>1576.4052056638452</v>
      </c>
      <c r="G41" s="763">
        <f t="shared" ca="1" si="4"/>
        <v>5265.4624602739959</v>
      </c>
      <c r="H41" s="763">
        <f t="shared" si="4"/>
        <v>0</v>
      </c>
      <c r="I41" s="763">
        <f t="shared" si="4"/>
        <v>0</v>
      </c>
      <c r="J41" s="763">
        <f t="shared" si="4"/>
        <v>0</v>
      </c>
      <c r="K41" s="763">
        <f t="shared" si="4"/>
        <v>12.908462471000865</v>
      </c>
      <c r="L41" s="763">
        <f t="shared" si="4"/>
        <v>0</v>
      </c>
      <c r="M41" s="763">
        <f t="shared" ca="1" si="4"/>
        <v>0</v>
      </c>
      <c r="N41" s="763">
        <f t="shared" si="4"/>
        <v>0</v>
      </c>
      <c r="O41" s="763">
        <f t="shared" ca="1" si="4"/>
        <v>0</v>
      </c>
      <c r="P41" s="763">
        <f t="shared" si="4"/>
        <v>0</v>
      </c>
      <c r="Q41" s="764">
        <f t="shared" si="4"/>
        <v>0</v>
      </c>
      <c r="R41" s="765">
        <f t="shared" ca="1" si="4"/>
        <v>100074.44083698391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1183.3486726246899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1183.3486726246899</v>
      </c>
    </row>
    <row r="45" spans="1:18" ht="15" thickBot="1">
      <c r="A45" s="888" t="s">
        <v>307</v>
      </c>
      <c r="B45" s="898"/>
      <c r="C45" s="727">
        <f ca="1">transport!B18</f>
        <v>13.645879152256725</v>
      </c>
      <c r="D45" s="727">
        <f>transport!C18</f>
        <v>0</v>
      </c>
      <c r="E45" s="727">
        <f>transport!D18</f>
        <v>45.394021736099063</v>
      </c>
      <c r="F45" s="727">
        <f>transport!E18</f>
        <v>68.969782217900018</v>
      </c>
      <c r="G45" s="727">
        <f>transport!F18</f>
        <v>0</v>
      </c>
      <c r="H45" s="727">
        <f>transport!G18</f>
        <v>34577.871820768749</v>
      </c>
      <c r="I45" s="727">
        <f>transport!H18</f>
        <v>6342.0395469203222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41047.921050795325</v>
      </c>
    </row>
    <row r="46" spans="1:18" ht="15.75" thickBot="1">
      <c r="A46" s="886" t="s">
        <v>230</v>
      </c>
      <c r="B46" s="899"/>
      <c r="C46" s="763">
        <f t="shared" ref="C46:R46" ca="1" si="5">SUM(C43:C45)</f>
        <v>13.645879152256725</v>
      </c>
      <c r="D46" s="763">
        <f t="shared" ca="1" si="5"/>
        <v>0</v>
      </c>
      <c r="E46" s="763">
        <f t="shared" si="5"/>
        <v>45.394021736099063</v>
      </c>
      <c r="F46" s="763">
        <f t="shared" si="5"/>
        <v>68.969782217900018</v>
      </c>
      <c r="G46" s="763">
        <f t="shared" si="5"/>
        <v>0</v>
      </c>
      <c r="H46" s="763">
        <f t="shared" si="5"/>
        <v>35761.220493393441</v>
      </c>
      <c r="I46" s="763">
        <f t="shared" si="5"/>
        <v>6342.0395469203222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42231.269723420017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583.08904786139567</v>
      </c>
      <c r="D48" s="718">
        <f ca="1">+landbouw!C12</f>
        <v>18872.636913360278</v>
      </c>
      <c r="E48" s="718">
        <f>+landbouw!D12</f>
        <v>6925.9607308616169</v>
      </c>
      <c r="F48" s="718">
        <f>+landbouw!E12</f>
        <v>20.053503254771272</v>
      </c>
      <c r="G48" s="718">
        <f>+landbouw!F12</f>
        <v>1342.5655821116147</v>
      </c>
      <c r="H48" s="718">
        <f>+landbouw!G12</f>
        <v>0</v>
      </c>
      <c r="I48" s="718">
        <f>+landbouw!H12</f>
        <v>0</v>
      </c>
      <c r="J48" s="718">
        <f>+landbouw!I12</f>
        <v>0</v>
      </c>
      <c r="K48" s="718">
        <f>+landbouw!J12</f>
        <v>154.14411725486244</v>
      </c>
      <c r="L48" s="718">
        <f>+landbouw!K12</f>
        <v>0</v>
      </c>
      <c r="M48" s="718">
        <f>+landbouw!L12</f>
        <v>0</v>
      </c>
      <c r="N48" s="718">
        <f>+landbouw!M12</f>
        <v>0</v>
      </c>
      <c r="O48" s="718">
        <f>+landbouw!N12</f>
        <v>0</v>
      </c>
      <c r="P48" s="718">
        <f>+landbouw!O12</f>
        <v>0</v>
      </c>
      <c r="Q48" s="719">
        <f>+landbouw!P12</f>
        <v>0</v>
      </c>
      <c r="R48" s="761">
        <f ca="1">SUM(C48:Q48)</f>
        <v>27898.449894704539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36105.459802859943</v>
      </c>
      <c r="D53" s="773">
        <f t="shared" ref="D53:Q53" ca="1" si="6">D41+D46+D48</f>
        <v>19063.087769652164</v>
      </c>
      <c r="E53" s="773">
        <f t="shared" ca="1" si="6"/>
        <v>64491.843729034612</v>
      </c>
      <c r="F53" s="773">
        <f t="shared" si="6"/>
        <v>1665.4284911365166</v>
      </c>
      <c r="G53" s="773">
        <f t="shared" ca="1" si="6"/>
        <v>6608.0280423856111</v>
      </c>
      <c r="H53" s="773">
        <f t="shared" si="6"/>
        <v>35761.220493393441</v>
      </c>
      <c r="I53" s="773">
        <f t="shared" si="6"/>
        <v>6342.0395469203222</v>
      </c>
      <c r="J53" s="773">
        <f t="shared" si="6"/>
        <v>0</v>
      </c>
      <c r="K53" s="773">
        <f t="shared" si="6"/>
        <v>167.0525797258633</v>
      </c>
      <c r="L53" s="773">
        <f t="shared" si="6"/>
        <v>0</v>
      </c>
      <c r="M53" s="773">
        <f t="shared" ca="1" si="6"/>
        <v>0</v>
      </c>
      <c r="N53" s="773">
        <f t="shared" si="6"/>
        <v>0</v>
      </c>
      <c r="O53" s="773">
        <f t="shared" ca="1" si="6"/>
        <v>0</v>
      </c>
      <c r="P53" s="773">
        <f>P41+P46+P48</f>
        <v>0</v>
      </c>
      <c r="Q53" s="774">
        <f t="shared" si="6"/>
        <v>0</v>
      </c>
      <c r="R53" s="775">
        <f ca="1">R41+R46+R48</f>
        <v>170204.16045510847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0.19400601998868075</v>
      </c>
      <c r="D55" s="836">
        <f t="shared" ca="1" si="7"/>
        <v>0.21161206254653761</v>
      </c>
      <c r="E55" s="836">
        <f t="shared" ca="1" si="7"/>
        <v>0.20200000000000001</v>
      </c>
      <c r="F55" s="836">
        <f t="shared" si="7"/>
        <v>0.22700000000000004</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9999.7782224972216</v>
      </c>
      <c r="C66" s="795">
        <f>'lokale energieproductie'!B6</f>
        <v>9999.7782224972216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65607</v>
      </c>
      <c r="C67" s="794">
        <f>B67*IFERROR(SUM(J67:L67)/SUM(D67:M67),0)</f>
        <v>8051.0146060974757</v>
      </c>
      <c r="D67" s="826">
        <f>'lokale energieproductie'!C7</f>
        <v>64555.663362984349</v>
      </c>
      <c r="E67" s="827">
        <f>'lokale energieproductie'!D7</f>
        <v>0</v>
      </c>
      <c r="F67" s="827">
        <f>'lokale energieproductie'!E7</f>
        <v>3157.2606298421474</v>
      </c>
      <c r="G67" s="827">
        <f>'lokale energieproductie'!F7</f>
        <v>0</v>
      </c>
      <c r="H67" s="827">
        <f>'lokale energieproductie'!G7</f>
        <v>0</v>
      </c>
      <c r="I67" s="827">
        <f>'lokale energieproductie'!H7</f>
        <v>0</v>
      </c>
      <c r="J67" s="827">
        <f>'lokale energieproductie'!I7</f>
        <v>9471.7818895264427</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13883.232587490693</v>
      </c>
      <c r="P67" s="922">
        <v>0</v>
      </c>
      <c r="Q67" s="785"/>
      <c r="R67" s="742"/>
    </row>
    <row r="68" spans="1:18" ht="30.75" thickBot="1">
      <c r="A68" s="801" t="s">
        <v>353</v>
      </c>
      <c r="B68" s="794">
        <f>'lokale energieproductie'!B8</f>
        <v>9945</v>
      </c>
      <c r="C68" s="794">
        <f>B68*IFERROR(SUM(J68:L68)/SUM(D68:M68),0)</f>
        <v>9945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28414.285714285717</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85551.778222497218</v>
      </c>
      <c r="C69" s="803">
        <f>SUM(C64:C68)</f>
        <v>27995.792828594698</v>
      </c>
      <c r="D69" s="804">
        <f t="shared" ref="D69:M69" si="8">SUM(D67:D68)</f>
        <v>64555.663362984349</v>
      </c>
      <c r="E69" s="804">
        <f t="shared" si="8"/>
        <v>0</v>
      </c>
      <c r="F69" s="804">
        <f t="shared" si="8"/>
        <v>3157.2606298421474</v>
      </c>
      <c r="G69" s="804">
        <f t="shared" si="8"/>
        <v>0</v>
      </c>
      <c r="H69" s="804">
        <f t="shared" si="8"/>
        <v>0</v>
      </c>
      <c r="I69" s="804">
        <f t="shared" si="8"/>
        <v>0</v>
      </c>
      <c r="J69" s="804">
        <f t="shared" si="8"/>
        <v>9471.7818895264427</v>
      </c>
      <c r="K69" s="804">
        <f t="shared" si="8"/>
        <v>28414.285714285717</v>
      </c>
      <c r="L69" s="804">
        <f t="shared" si="8"/>
        <v>0</v>
      </c>
      <c r="M69" s="930">
        <f t="shared" si="8"/>
        <v>0</v>
      </c>
      <c r="N69" s="805">
        <v>0</v>
      </c>
      <c r="O69" s="805">
        <f>SUM(O67:O68)</f>
        <v>13883.232587490693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90085.07142857142</v>
      </c>
      <c r="C78" s="817">
        <f>B78*IFERROR(SUM(I78:L78)/SUM(D78:M78),0)</f>
        <v>11054.860393902525</v>
      </c>
      <c r="D78" s="832">
        <f>'lokale energieproductie'!C16</f>
        <v>88641.479494158484</v>
      </c>
      <c r="E78" s="832">
        <f>'lokale energieproductie'!D16</f>
        <v>0</v>
      </c>
      <c r="F78" s="832">
        <f>'lokale energieproductie'!E16</f>
        <v>4335.2393701578521</v>
      </c>
      <c r="G78" s="832">
        <f>'lokale energieproductie'!F16</f>
        <v>0</v>
      </c>
      <c r="H78" s="832">
        <f>'lokale energieproductie'!G16</f>
        <v>0</v>
      </c>
      <c r="I78" s="832">
        <f>'lokale energieproductie'!H16</f>
        <v>0</v>
      </c>
      <c r="J78" s="832">
        <f>'lokale energieproductie'!I16</f>
        <v>13005.718110473557</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19063.087769652164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90085.07142857142</v>
      </c>
      <c r="C81" s="803">
        <f>SUM(C78:C80)</f>
        <v>11054.860393902525</v>
      </c>
      <c r="D81" s="803">
        <f t="shared" ref="D81:P81" si="9">SUM(D78:D80)</f>
        <v>88641.479494158484</v>
      </c>
      <c r="E81" s="803">
        <f t="shared" si="9"/>
        <v>0</v>
      </c>
      <c r="F81" s="803">
        <f t="shared" si="9"/>
        <v>4335.2393701578521</v>
      </c>
      <c r="G81" s="803">
        <f t="shared" si="9"/>
        <v>0</v>
      </c>
      <c r="H81" s="803">
        <f t="shared" si="9"/>
        <v>0</v>
      </c>
      <c r="I81" s="803">
        <f t="shared" si="9"/>
        <v>0</v>
      </c>
      <c r="J81" s="803">
        <f t="shared" si="9"/>
        <v>13005.718110473557</v>
      </c>
      <c r="K81" s="803">
        <f t="shared" si="9"/>
        <v>0</v>
      </c>
      <c r="L81" s="803">
        <f t="shared" si="9"/>
        <v>0</v>
      </c>
      <c r="M81" s="803">
        <f t="shared" si="9"/>
        <v>0</v>
      </c>
      <c r="N81" s="803">
        <v>0</v>
      </c>
      <c r="O81" s="803">
        <f>SUM(O78:O80)</f>
        <v>19063.087769652164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57650.797774064587</v>
      </c>
      <c r="C4" s="478">
        <f>huishoudens!C8</f>
        <v>0</v>
      </c>
      <c r="D4" s="478">
        <f>huishoudens!D8</f>
        <v>172061.84715024999</v>
      </c>
      <c r="E4" s="478">
        <f>huishoudens!E8</f>
        <v>3788.7214162274718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9857.3628019765492</v>
      </c>
      <c r="O4" s="478">
        <f>huishoudens!O8</f>
        <v>334.55333333333334</v>
      </c>
      <c r="P4" s="479">
        <f>huishoudens!P8</f>
        <v>1258.4000000000001</v>
      </c>
      <c r="Q4" s="480">
        <f>SUM(B4:P4)</f>
        <v>244951.68247585194</v>
      </c>
    </row>
    <row r="5" spans="1:17">
      <c r="A5" s="477" t="s">
        <v>156</v>
      </c>
      <c r="B5" s="478">
        <f ca="1">tertiair!B16</f>
        <v>72623.003261010308</v>
      </c>
      <c r="C5" s="478">
        <f ca="1">tertiair!C16</f>
        <v>900.00000000000023</v>
      </c>
      <c r="D5" s="478">
        <f ca="1">tertiair!D16</f>
        <v>68718.806320351781</v>
      </c>
      <c r="E5" s="478">
        <f>tertiair!E16</f>
        <v>944.31256220071134</v>
      </c>
      <c r="F5" s="478">
        <f ca="1">tertiair!F16</f>
        <v>10869.216956808294</v>
      </c>
      <c r="G5" s="478">
        <f>tertiair!G16</f>
        <v>0</v>
      </c>
      <c r="H5" s="478">
        <f>tertiair!H16</f>
        <v>0</v>
      </c>
      <c r="I5" s="478">
        <f>tertiair!I16</f>
        <v>0</v>
      </c>
      <c r="J5" s="478">
        <f>tertiair!J16</f>
        <v>0.1444967222597891</v>
      </c>
      <c r="K5" s="478">
        <f>tertiair!K16</f>
        <v>0</v>
      </c>
      <c r="L5" s="478">
        <f ca="1">tertiair!L16</f>
        <v>0</v>
      </c>
      <c r="M5" s="478">
        <f>tertiair!M16</f>
        <v>0</v>
      </c>
      <c r="N5" s="478">
        <f ca="1">tertiair!N16</f>
        <v>0</v>
      </c>
      <c r="O5" s="478">
        <f>tertiair!O16</f>
        <v>6.2533333333333339</v>
      </c>
      <c r="P5" s="479">
        <f>tertiair!P16</f>
        <v>114.4</v>
      </c>
      <c r="Q5" s="477">
        <f t="shared" ref="Q5:Q13" ca="1" si="0">SUM(B5:P5)</f>
        <v>154176.13693042667</v>
      </c>
    </row>
    <row r="6" spans="1:17">
      <c r="A6" s="477" t="s">
        <v>194</v>
      </c>
      <c r="B6" s="478">
        <f>'openbare verlichting'!B8</f>
        <v>2172.2089999999998</v>
      </c>
      <c r="C6" s="478"/>
      <c r="D6" s="478"/>
      <c r="E6" s="478"/>
      <c r="F6" s="478"/>
      <c r="G6" s="478"/>
      <c r="H6" s="478"/>
      <c r="I6" s="478"/>
      <c r="J6" s="478"/>
      <c r="K6" s="478"/>
      <c r="L6" s="478"/>
      <c r="M6" s="478"/>
      <c r="N6" s="478"/>
      <c r="O6" s="478"/>
      <c r="P6" s="479"/>
      <c r="Q6" s="477">
        <f t="shared" si="0"/>
        <v>2172.2089999999998</v>
      </c>
    </row>
    <row r="7" spans="1:17">
      <c r="A7" s="477" t="s">
        <v>112</v>
      </c>
      <c r="B7" s="478">
        <f>landbouw!B8</f>
        <v>3005.5203848592732</v>
      </c>
      <c r="C7" s="478">
        <f>landbouw!C8</f>
        <v>89185.07142857142</v>
      </c>
      <c r="D7" s="478">
        <f>landbouw!D8</f>
        <v>34286.934311196121</v>
      </c>
      <c r="E7" s="478">
        <f>landbouw!E8</f>
        <v>88.341424029829383</v>
      </c>
      <c r="F7" s="478">
        <f>landbouw!F8</f>
        <v>5028.3355135266465</v>
      </c>
      <c r="G7" s="478">
        <f>landbouw!G8</f>
        <v>0</v>
      </c>
      <c r="H7" s="478">
        <f>landbouw!H8</f>
        <v>0</v>
      </c>
      <c r="I7" s="478">
        <f>landbouw!I8</f>
        <v>0</v>
      </c>
      <c r="J7" s="478">
        <f>landbouw!J8</f>
        <v>435.43535947701258</v>
      </c>
      <c r="K7" s="478">
        <f>landbouw!K8</f>
        <v>0</v>
      </c>
      <c r="L7" s="478">
        <f>landbouw!L8</f>
        <v>0</v>
      </c>
      <c r="M7" s="478">
        <f>landbouw!M8</f>
        <v>0</v>
      </c>
      <c r="N7" s="478">
        <f>landbouw!N8</f>
        <v>0</v>
      </c>
      <c r="O7" s="478">
        <f>landbouw!O8</f>
        <v>0</v>
      </c>
      <c r="P7" s="479">
        <f>landbouw!P8</f>
        <v>0</v>
      </c>
      <c r="Q7" s="477">
        <f t="shared" si="0"/>
        <v>132029.63842166029</v>
      </c>
    </row>
    <row r="8" spans="1:17">
      <c r="A8" s="477" t="s">
        <v>635</v>
      </c>
      <c r="B8" s="478">
        <f>industrie!B18</f>
        <v>50582.97472487246</v>
      </c>
      <c r="C8" s="478">
        <f>industrie!C18</f>
        <v>0</v>
      </c>
      <c r="D8" s="478">
        <f>industrie!D18</f>
        <v>43974.242452353152</v>
      </c>
      <c r="E8" s="478">
        <f>industrie!E18</f>
        <v>2211.4823460821472</v>
      </c>
      <c r="F8" s="478">
        <f>industrie!F18</f>
        <v>8851.6162277385065</v>
      </c>
      <c r="G8" s="478">
        <f>industrie!G18</f>
        <v>0</v>
      </c>
      <c r="H8" s="478">
        <f>industrie!H18</f>
        <v>0</v>
      </c>
      <c r="I8" s="478">
        <f>industrie!I18</f>
        <v>0</v>
      </c>
      <c r="J8" s="478">
        <f>industrie!J18</f>
        <v>36.320086529155084</v>
      </c>
      <c r="K8" s="478">
        <f>industrie!K18</f>
        <v>0</v>
      </c>
      <c r="L8" s="478">
        <f>industrie!L18</f>
        <v>0</v>
      </c>
      <c r="M8" s="478">
        <f>industrie!M18</f>
        <v>0</v>
      </c>
      <c r="N8" s="478">
        <f>industrie!N18</f>
        <v>12827.820005682745</v>
      </c>
      <c r="O8" s="478">
        <f>industrie!O18</f>
        <v>0</v>
      </c>
      <c r="P8" s="479">
        <f>industrie!P18</f>
        <v>0</v>
      </c>
      <c r="Q8" s="477">
        <f t="shared" si="0"/>
        <v>118484.45584325817</v>
      </c>
    </row>
    <row r="9" spans="1:17" s="483" customFormat="1">
      <c r="A9" s="481" t="s">
        <v>561</v>
      </c>
      <c r="B9" s="482">
        <f>transport!B14</f>
        <v>70.337400628356235</v>
      </c>
      <c r="C9" s="482">
        <f>transport!C14</f>
        <v>0</v>
      </c>
      <c r="D9" s="482">
        <f>transport!D14</f>
        <v>224.72287988167852</v>
      </c>
      <c r="E9" s="482">
        <f>transport!E14</f>
        <v>303.83163972643177</v>
      </c>
      <c r="F9" s="482">
        <f>transport!F14</f>
        <v>0</v>
      </c>
      <c r="G9" s="482">
        <f>transport!G14</f>
        <v>129505.13790550092</v>
      </c>
      <c r="H9" s="482">
        <f>transport!H14</f>
        <v>25470.038341045471</v>
      </c>
      <c r="I9" s="482">
        <f>transport!I14</f>
        <v>0</v>
      </c>
      <c r="J9" s="482">
        <f>transport!J14</f>
        <v>0</v>
      </c>
      <c r="K9" s="482">
        <f>transport!K14</f>
        <v>0</v>
      </c>
      <c r="L9" s="482">
        <f>transport!L14</f>
        <v>0</v>
      </c>
      <c r="M9" s="482">
        <f>transport!M14</f>
        <v>8322.3803425352871</v>
      </c>
      <c r="N9" s="482">
        <f>transport!N14</f>
        <v>0</v>
      </c>
      <c r="O9" s="482">
        <f>transport!O14</f>
        <v>0</v>
      </c>
      <c r="P9" s="482">
        <f>transport!P14</f>
        <v>0</v>
      </c>
      <c r="Q9" s="481">
        <f>SUM(B9:P9)</f>
        <v>163896.44850931814</v>
      </c>
    </row>
    <row r="10" spans="1:17">
      <c r="A10" s="477" t="s">
        <v>551</v>
      </c>
      <c r="B10" s="478">
        <f>transport!B54</f>
        <v>0</v>
      </c>
      <c r="C10" s="478">
        <f>transport!C54</f>
        <v>0</v>
      </c>
      <c r="D10" s="478">
        <f>transport!D54</f>
        <v>0</v>
      </c>
      <c r="E10" s="478">
        <f>transport!E54</f>
        <v>0</v>
      </c>
      <c r="F10" s="478">
        <f>transport!F54</f>
        <v>0</v>
      </c>
      <c r="G10" s="478">
        <f>transport!G54</f>
        <v>4432.0175004670036</v>
      </c>
      <c r="H10" s="478">
        <f>transport!H54</f>
        <v>0</v>
      </c>
      <c r="I10" s="478">
        <f>transport!I54</f>
        <v>0</v>
      </c>
      <c r="J10" s="478">
        <f>transport!J54</f>
        <v>0</v>
      </c>
      <c r="K10" s="478">
        <f>transport!K54</f>
        <v>0</v>
      </c>
      <c r="L10" s="478">
        <f>transport!L54</f>
        <v>0</v>
      </c>
      <c r="M10" s="478">
        <f>transport!M54</f>
        <v>251.71902854673229</v>
      </c>
      <c r="N10" s="478">
        <f>transport!N54</f>
        <v>0</v>
      </c>
      <c r="O10" s="478">
        <f>transport!O54</f>
        <v>0</v>
      </c>
      <c r="P10" s="479">
        <f>transport!P54</f>
        <v>0</v>
      </c>
      <c r="Q10" s="477">
        <f t="shared" si="0"/>
        <v>4683.7365290137359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186104.84254543501</v>
      </c>
      <c r="C14" s="488">
        <f t="shared" ref="C14:Q14" ca="1" si="1">SUM(C4:C13)</f>
        <v>90085.07142857142</v>
      </c>
      <c r="D14" s="488">
        <f t="shared" ca="1" si="1"/>
        <v>319266.55311403266</v>
      </c>
      <c r="E14" s="488">
        <f t="shared" si="1"/>
        <v>7336.6893882665918</v>
      </c>
      <c r="F14" s="488">
        <f t="shared" ca="1" si="1"/>
        <v>24749.168698073445</v>
      </c>
      <c r="G14" s="488">
        <f t="shared" si="1"/>
        <v>133937.15540596793</v>
      </c>
      <c r="H14" s="488">
        <f t="shared" si="1"/>
        <v>25470.038341045471</v>
      </c>
      <c r="I14" s="488">
        <f t="shared" si="1"/>
        <v>0</v>
      </c>
      <c r="J14" s="488">
        <f t="shared" si="1"/>
        <v>471.8999427284275</v>
      </c>
      <c r="K14" s="488">
        <f t="shared" si="1"/>
        <v>0</v>
      </c>
      <c r="L14" s="488">
        <f t="shared" ca="1" si="1"/>
        <v>0</v>
      </c>
      <c r="M14" s="488">
        <f t="shared" si="1"/>
        <v>8574.0993710820203</v>
      </c>
      <c r="N14" s="488">
        <f t="shared" ca="1" si="1"/>
        <v>22685.182807659294</v>
      </c>
      <c r="O14" s="488">
        <f t="shared" si="1"/>
        <v>340.80666666666667</v>
      </c>
      <c r="P14" s="489">
        <f t="shared" si="1"/>
        <v>1372.8000000000002</v>
      </c>
      <c r="Q14" s="489">
        <f t="shared" ca="1" si="1"/>
        <v>820394.30770952895</v>
      </c>
    </row>
    <row r="16" spans="1:17">
      <c r="A16" s="491" t="s">
        <v>556</v>
      </c>
      <c r="B16" s="841">
        <f ca="1">huishoudens!B10</f>
        <v>0.19400601998868075</v>
      </c>
      <c r="C16" s="841">
        <f ca="1">huishoudens!C10</f>
        <v>0.21161206254653761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11184.601825318567</v>
      </c>
      <c r="C21" s="478">
        <f t="shared" ref="C21:C30" ca="1" si="3">C4*$C$16</f>
        <v>0</v>
      </c>
      <c r="D21" s="478">
        <f t="shared" ref="D21:D30" si="4">D4*$D$16</f>
        <v>34756.493124350498</v>
      </c>
      <c r="E21" s="478">
        <f t="shared" ref="E21:E30" si="5">E4*$E$16</f>
        <v>860.03976148363608</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46801.134711152699</v>
      </c>
    </row>
    <row r="22" spans="1:17">
      <c r="A22" s="477" t="s">
        <v>156</v>
      </c>
      <c r="B22" s="478">
        <f t="shared" ca="1" si="2"/>
        <v>14089.299822293593</v>
      </c>
      <c r="C22" s="478">
        <f t="shared" ca="1" si="3"/>
        <v>190.45085629188389</v>
      </c>
      <c r="D22" s="478">
        <f t="shared" ca="1" si="4"/>
        <v>13881.198876711062</v>
      </c>
      <c r="E22" s="478">
        <f t="shared" si="5"/>
        <v>214.35895161956148</v>
      </c>
      <c r="F22" s="478">
        <f t="shared" ca="1" si="6"/>
        <v>2902.0809274678145</v>
      </c>
      <c r="G22" s="478">
        <f t="shared" si="7"/>
        <v>0</v>
      </c>
      <c r="H22" s="478">
        <f t="shared" si="8"/>
        <v>0</v>
      </c>
      <c r="I22" s="478">
        <f t="shared" si="9"/>
        <v>0</v>
      </c>
      <c r="J22" s="478">
        <f t="shared" si="10"/>
        <v>5.1151839679965339E-2</v>
      </c>
      <c r="K22" s="478">
        <f t="shared" si="11"/>
        <v>0</v>
      </c>
      <c r="L22" s="478">
        <f t="shared" ca="1" si="12"/>
        <v>0</v>
      </c>
      <c r="M22" s="478">
        <f t="shared" si="13"/>
        <v>0</v>
      </c>
      <c r="N22" s="478">
        <f t="shared" ca="1" si="14"/>
        <v>0</v>
      </c>
      <c r="O22" s="478">
        <f t="shared" si="15"/>
        <v>0</v>
      </c>
      <c r="P22" s="479">
        <f t="shared" si="16"/>
        <v>0</v>
      </c>
      <c r="Q22" s="477">
        <f t="shared" ref="Q22:Q30" ca="1" si="17">SUM(B22:P22)</f>
        <v>31277.440586223594</v>
      </c>
    </row>
    <row r="23" spans="1:17">
      <c r="A23" s="477" t="s">
        <v>194</v>
      </c>
      <c r="B23" s="478">
        <f t="shared" ca="1" si="2"/>
        <v>421.4216226735922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421.4216226735922</v>
      </c>
    </row>
    <row r="24" spans="1:17">
      <c r="A24" s="477" t="s">
        <v>112</v>
      </c>
      <c r="B24" s="478">
        <f t="shared" ca="1" si="2"/>
        <v>583.08904786139567</v>
      </c>
      <c r="C24" s="478">
        <f t="shared" ca="1" si="3"/>
        <v>18872.636913360278</v>
      </c>
      <c r="D24" s="478">
        <f t="shared" si="4"/>
        <v>6925.9607308616169</v>
      </c>
      <c r="E24" s="478">
        <f t="shared" si="5"/>
        <v>20.053503254771272</v>
      </c>
      <c r="F24" s="478">
        <f t="shared" si="6"/>
        <v>1342.5655821116147</v>
      </c>
      <c r="G24" s="478">
        <f t="shared" si="7"/>
        <v>0</v>
      </c>
      <c r="H24" s="478">
        <f t="shared" si="8"/>
        <v>0</v>
      </c>
      <c r="I24" s="478">
        <f t="shared" si="9"/>
        <v>0</v>
      </c>
      <c r="J24" s="478">
        <f t="shared" si="10"/>
        <v>154.14411725486244</v>
      </c>
      <c r="K24" s="478">
        <f t="shared" si="11"/>
        <v>0</v>
      </c>
      <c r="L24" s="478">
        <f t="shared" si="12"/>
        <v>0</v>
      </c>
      <c r="M24" s="478">
        <f t="shared" si="13"/>
        <v>0</v>
      </c>
      <c r="N24" s="478">
        <f t="shared" si="14"/>
        <v>0</v>
      </c>
      <c r="O24" s="478">
        <f t="shared" si="15"/>
        <v>0</v>
      </c>
      <c r="P24" s="479">
        <f t="shared" si="16"/>
        <v>0</v>
      </c>
      <c r="Q24" s="477">
        <f t="shared" ca="1" si="17"/>
        <v>27898.449894704539</v>
      </c>
    </row>
    <row r="25" spans="1:17">
      <c r="A25" s="477" t="s">
        <v>635</v>
      </c>
      <c r="B25" s="478">
        <f t="shared" ca="1" si="2"/>
        <v>9813.4016055605389</v>
      </c>
      <c r="C25" s="478">
        <f t="shared" ca="1" si="3"/>
        <v>0</v>
      </c>
      <c r="D25" s="478">
        <f t="shared" si="4"/>
        <v>8882.7969753753368</v>
      </c>
      <c r="E25" s="478">
        <f t="shared" si="5"/>
        <v>502.00649256064742</v>
      </c>
      <c r="F25" s="478">
        <f t="shared" si="6"/>
        <v>2363.3815328061814</v>
      </c>
      <c r="G25" s="478">
        <f t="shared" si="7"/>
        <v>0</v>
      </c>
      <c r="H25" s="478">
        <f t="shared" si="8"/>
        <v>0</v>
      </c>
      <c r="I25" s="478">
        <f t="shared" si="9"/>
        <v>0</v>
      </c>
      <c r="J25" s="478">
        <f t="shared" si="10"/>
        <v>12.8573106313209</v>
      </c>
      <c r="K25" s="478">
        <f t="shared" si="11"/>
        <v>0</v>
      </c>
      <c r="L25" s="478">
        <f t="shared" si="12"/>
        <v>0</v>
      </c>
      <c r="M25" s="478">
        <f t="shared" si="13"/>
        <v>0</v>
      </c>
      <c r="N25" s="478">
        <f t="shared" si="14"/>
        <v>0</v>
      </c>
      <c r="O25" s="478">
        <f t="shared" si="15"/>
        <v>0</v>
      </c>
      <c r="P25" s="479">
        <f t="shared" si="16"/>
        <v>0</v>
      </c>
      <c r="Q25" s="477">
        <f t="shared" ca="1" si="17"/>
        <v>21574.443916934022</v>
      </c>
    </row>
    <row r="26" spans="1:17" s="483" customFormat="1">
      <c r="A26" s="481" t="s">
        <v>561</v>
      </c>
      <c r="B26" s="835">
        <f t="shared" ca="1" si="2"/>
        <v>13.645879152256725</v>
      </c>
      <c r="C26" s="482">
        <f t="shared" ca="1" si="3"/>
        <v>0</v>
      </c>
      <c r="D26" s="482">
        <f t="shared" si="4"/>
        <v>45.394021736099063</v>
      </c>
      <c r="E26" s="482">
        <f t="shared" si="5"/>
        <v>68.969782217900018</v>
      </c>
      <c r="F26" s="482">
        <f t="shared" si="6"/>
        <v>0</v>
      </c>
      <c r="G26" s="482">
        <f t="shared" si="7"/>
        <v>34577.871820768749</v>
      </c>
      <c r="H26" s="482">
        <f t="shared" si="8"/>
        <v>6342.0395469203222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41047.921050795325</v>
      </c>
    </row>
    <row r="27" spans="1:17">
      <c r="A27" s="477" t="s">
        <v>551</v>
      </c>
      <c r="B27" s="478">
        <f t="shared" ca="1" si="2"/>
        <v>0</v>
      </c>
      <c r="C27" s="478">
        <f t="shared" ca="1" si="3"/>
        <v>0</v>
      </c>
      <c r="D27" s="478">
        <f t="shared" si="4"/>
        <v>0</v>
      </c>
      <c r="E27" s="478">
        <f t="shared" si="5"/>
        <v>0</v>
      </c>
      <c r="F27" s="478">
        <f t="shared" si="6"/>
        <v>0</v>
      </c>
      <c r="G27" s="478">
        <f t="shared" si="7"/>
        <v>1183.3486726246899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1183.3486726246899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36105.459802859943</v>
      </c>
      <c r="C31" s="488">
        <f t="shared" ca="1" si="18"/>
        <v>19063.087769652164</v>
      </c>
      <c r="D31" s="488">
        <f t="shared" ca="1" si="18"/>
        <v>64491.843729034612</v>
      </c>
      <c r="E31" s="488">
        <f t="shared" si="18"/>
        <v>1665.4284911365166</v>
      </c>
      <c r="F31" s="488">
        <f t="shared" ca="1" si="18"/>
        <v>6608.0280423856111</v>
      </c>
      <c r="G31" s="488">
        <f t="shared" si="18"/>
        <v>35761.220493393441</v>
      </c>
      <c r="H31" s="488">
        <f t="shared" si="18"/>
        <v>6342.0395469203222</v>
      </c>
      <c r="I31" s="488">
        <f t="shared" si="18"/>
        <v>0</v>
      </c>
      <c r="J31" s="488">
        <f t="shared" si="18"/>
        <v>167.0525797258633</v>
      </c>
      <c r="K31" s="488">
        <f t="shared" si="18"/>
        <v>0</v>
      </c>
      <c r="L31" s="488">
        <f t="shared" ca="1" si="18"/>
        <v>0</v>
      </c>
      <c r="M31" s="488">
        <f t="shared" si="18"/>
        <v>0</v>
      </c>
      <c r="N31" s="488">
        <f t="shared" ca="1" si="18"/>
        <v>0</v>
      </c>
      <c r="O31" s="488">
        <f t="shared" si="18"/>
        <v>0</v>
      </c>
      <c r="P31" s="489">
        <f t="shared" si="18"/>
        <v>0</v>
      </c>
      <c r="Q31" s="489">
        <f t="shared" ca="1" si="18"/>
        <v>170204.16045510845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0.19400601998868075</v>
      </c>
      <c r="C17" s="528">
        <f ca="1">'EF ele_warmte'!B22</f>
        <v>0.21161206254653761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0.19400601998868075</v>
      </c>
      <c r="C17" s="528">
        <f ca="1">'EF ele_warmte'!B22</f>
        <v>0.21161206254653761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0.19400601998868075</v>
      </c>
      <c r="C29" s="529">
        <f ca="1">'EF ele_warmte'!B22</f>
        <v>0.21161206254653761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2018-09-06T12:46:07Z</dcterms:modified>
</cp:coreProperties>
</file>