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<sst xmlns="http://schemas.openxmlformats.org/spreadsheetml/2006/main" count="1941" uniqueCount="822">
  <si>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</si>
  <si>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</si>
  <si>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</si>
  <si>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</si>
  <si>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</si>
  <si>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</si>
  <si>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</si>
  <si>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</si>
  <si>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</si>
  <si>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</si>
  <si>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</si>
  <si>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</si>
  <si>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</si>
  <si>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</si>
  <si>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</si>
  <si>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</si>
  <si>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</si>
  <si>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</si>
  <si>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</si>
  <si>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</si>
  <si>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</si>
  <si>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</si>
  <si>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</si>
  <si>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</si>
  <si>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</si>
  <si>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</si>
  <si>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</si>
  <si>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</si>
  <si>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</si>
  <si>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</si>
  <si>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</si>
  <si>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</si>
  <si>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</si>
  <si>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</si>
  <si>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</si>
  <si>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</si>
  <si>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</si>
  <si>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</si>
  <si>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</si>
  <si>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</si>
  <si>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</si>
  <si>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</si>
  <si>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</si>
  <si>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</si>
  <si>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</si>
  <si>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</si>
  <si>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</si>
  <si>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</si>
  <si>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</si>
  <si>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</si>
  <si>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</si>
  <si>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</si>
  <si>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</si>
  <si>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</si>
  <si>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</si>
  <si>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</si>
  <si>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</si>
  <si>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</si>
  <si>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</si>
  <si>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</si>
  <si>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</si>
  <si>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</si>
  <si>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</si>
  <si>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</si>
  <si>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</si>
  <si>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</si>
  <si>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</si>
  <si>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</si>
  <si>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</si>
  <si>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</si>
  <si>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</si>
  <si>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</si>
  <si>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</si>
  <si>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</si>
  <si>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</si>
  <si>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</si>
  <si>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</si>
  <si>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</si>
  <si>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</si>
  <si>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</si>
  <si>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</si>
  <si>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</si>
  <si>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</si>
  <si>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</si>
  <si>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</si>
  <si>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</si>
  <si>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</si>
  <si>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</si>
  <si>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</si>
  <si>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</si>
  <si>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</si>
  <si>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</si>
  <si>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</si>
  <si>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</si>
  <si>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</si>
  <si>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</si>
  <si>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</si>
  <si>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</si>
  <si>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</si>
  <si>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</si>
  <si>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</si>
  <si>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</si>
  <si>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</si>
  <si>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</si>
  <si>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</si>
  <si>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</si>
  <si>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</si>
  <si>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</si>
  <si>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</si>
  <si>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</si>
  <si>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</si>
  <si>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</si>
  <si>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</si>
  <si>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</si>
  <si>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</si>
  <si>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</si>
  <si>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</si>
  <si>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</si>
  <si>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</si>
  <si>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</si>
  <si>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</si>
  <si>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</si>
  <si>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</si>
  <si>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</si>
  <si>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</si>
  <si>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</si>
  <si>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</si>
  <si>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</si>
  <si>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</si>
  <si>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</si>
  <si>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</si>
  <si>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</si>
  <si>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</si>
  <si>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</si>
  <si>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</si>
  <si>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</si>
  <si>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</si>
  <si>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</si>
  <si>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</si>
  <si>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</si>
  <si>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</si>
  <si>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</si>
  <si>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</si>
  <si>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</si>
  <si>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</si>
  <si>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</si>
  <si>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</si>
  <si>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</si>
  <si>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</si>
  <si>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</si>
  <si>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</si>
  <si>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</si>
  <si>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</si>
  <si>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</si>
  <si>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</si>
  <si>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</si>
  <si>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</si>
  <si>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</si>
  <si>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</si>
  <si>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</si>
  <si>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</si>
  <si>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</si>
  <si>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</si>
  <si>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</si>
  <si>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</si>
  <si>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</si>
  <si>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</si>
  <si>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</si>
  <si>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</si>
  <si>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</si>
  <si>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</si>
  <si>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</si>
  <si>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</si>
  <si>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</si>
  <si>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</si>
  <si>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</si>
  <si>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</si>
  <si>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</si>
  <si>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</si>
  <si>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</si>
  <si>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</si>
  <si>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</si>
  <si>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</si>
  <si>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</si>
  <si>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</si>
  <si>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</si>
  <si>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</si>
  <si>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</si>
  <si>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</si>
  <si>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</si>
  <si>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</si>
  <si>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</si>
  <si>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</si>
  <si>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</si>
  <si>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</si>
  <si>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</si>
  <si>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</si>
  <si>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</si>
  <si>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</si>
  <si>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</si>
  <si>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</si>
  <si>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</si>
  <si>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</si>
  <si>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</si>
  <si>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</si>
  <si>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</si>
  <si>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</si>
  <si>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</si>
  <si>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</si>
  <si>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</si>
  <si>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</si>
  <si>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</si>
  <si>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</si>
  <si>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</si>
  <si>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</si>
  <si>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</si>
  <si>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</si>
  <si>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</si>
  <si>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</si>
  <si>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</si>
  <si>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</si>
  <si>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</si>
  <si>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</si>
  <si>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</si>
  <si>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</si>
  <si>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</si>
  <si>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</si>
  <si>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</si>
  <si>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</si>
  <si>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</si>
  <si>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</si>
  <si>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</si>
  <si>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</si>
  <si>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</si>
  <si>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</si>
  <si>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</si>
  <si>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</si>
  <si>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</si>
  <si>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</si>
  <si>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</si>
  <si>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</si>
  <si>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</si>
  <si>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</si>
  <si>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</si>
  <si>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</si>
  <si>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</si>
  <si>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</si>
  <si>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</si>
  <si>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</si>
  <si>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</si>
  <si>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</si>
  <si>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</si>
  <si>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</si>
  <si>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</si>
  <si>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</si>
  <si>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</si>
  <si>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</si>
  <si>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</si>
  <si>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</si>
  <si>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</si>
  <si>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</si>
  <si>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</si>
  <si>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</si>
  <si>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</si>
  <si>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</si>
  <si>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</si>
  <si>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</si>
  <si>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</si>
  <si>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</si>
  <si>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</si>
  <si>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</si>
  <si>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</si>
  <si>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</si>
  <si>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</si>
  <si>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</si>
  <si>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</si>
  <si>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</si>
  <si>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</si>
  <si>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</si>
  <si>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</si>
  <si>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</si>
  <si>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</si>
  <si>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</si>
  <si>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</si>
  <si>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</si>
  <si>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</si>
  <si>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</si>
  <si>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</si>
  <si>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</si>
  <si>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</si>
  <si>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</si>
  <si>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</si>
  <si>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</si>
  <si>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</si>
  <si>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</si>
  <si>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</si>
  <si>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</si>
  <si>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</si>
  <si>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</si>
  <si>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</si>
  <si>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</si>
  <si>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</si>
  <si>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</si>
  <si>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</si>
  <si>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</si>
  <si>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</si>
  <si>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</si>
  <si>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</si>
  <si>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</si>
  <si>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</si>
  <si>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</si>
  <si>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</si>
  <si>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</si>
  <si>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</si>
  <si>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</si>
  <si>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</si>
  <si>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</si>
  <si>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</si>
  <si>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</si>
  <si>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</si>
  <si>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</si>
  <si>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</si>
  <si>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</si>
  <si>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</si>
  <si>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</si>
  <si>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</si>
  <si>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</si>
  <si>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</si>
  <si>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</si>
  <si>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</si>
  <si>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</si>
  <si>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</si>
  <si>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</si>
  <si>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</si>
  <si>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</si>
  <si>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</si>
  <si>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</si>
  <si>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</si>
  <si>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</si>
  <si>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</si>
  <si>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</si>
  <si>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</si>
  <si>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</si>
  <si>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</si>
  <si>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</si>
  <si>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</si>
  <si>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</si>
  <si>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</si>
  <si>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</si>
  <si>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</si>
  <si>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</si>
  <si>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</si>
  <si>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</si>
  <si>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</si>
  <si>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</si>
  <si>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</si>
  <si>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</si>
  <si>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</si>
  <si>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</si>
  <si>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</si>
  <si>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</si>
  <si>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</si>
  <si>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</si>
  <si>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</si>
  <si>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</si>
  <si>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</si>
  <si>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</si>
  <si>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</si>
  <si>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</si>
  <si>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</si>
  <si>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</si>
  <si>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</si>
  <si>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</si>
  <si>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</si>
  <si>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</si>
  <si>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</si>
  <si>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</si>
  <si>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</si>
  <si>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</si>
  <si>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</si>
  <si>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</si>
  <si>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</si>
  <si>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</si>
  <si>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</si>
  <si>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</si>
  <si>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</si>
  <si>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</si>
  <si>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</si>
  <si>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</si>
  <si>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</si>
  <si>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</si>
  <si>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</si>
  <si>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</si>
  <si>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</si>
  <si>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</si>
  <si>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</si>
  <si>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</si>
  <si>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</si>
  <si>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</si>
  <si>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</si>
  <si>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</si>
  <si>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</si>
  <si>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</si>
  <si>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</si>
  <si>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</si>
  <si>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</si>
  <si>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</si>
  <si>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</si>
  <si>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</si>
  <si>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</si>
  <si>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</si>
  <si>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</si>
  <si>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</si>
  <si>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</si>
  <si>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</si>
  <si>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</si>
  <si>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</si>
  <si>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</si>
  <si>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</si>
  <si>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</si>
  <si>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</si>
  <si>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</si>
  <si>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</si>
  <si>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</si>
  <si>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</si>
  <si>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</si>
  <si>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</si>
  <si>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</si>
  <si>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</si>
  <si>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</si>
  <si>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</si>
  <si>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</si>
  <si>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</si>
  <si>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</si>
  <si>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</si>
  <si>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</si>
  <si>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</si>
  <si>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</si>
  <si>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</si>
  <si>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</si>
  <si>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</si>
  <si>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</si>
  <si>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</si>
  <si>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</si>
  <si>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</si>
  <si>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</si>
  <si>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</si>
  <si>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</si>
  <si>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</si>
  <si>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</si>
  <si>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</si>
  <si>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</si>
  <si>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</si>
  <si>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</si>
  <si>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</si>
  <si>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</si>
  <si>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</si>
  <si>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</si>
  <si>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</si>
  <si>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</si>
  <si>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</si>
  <si>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</si>
  <si>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</si>
  <si>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</si>
  <si>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</si>
  <si>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</si>
  <si>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</si>
  <si>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</si>
  <si>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</si>
  <si>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</si>
  <si>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</si>
  <si>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</si>
  <si>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</si>
  <si>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</si>
  <si>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</si>
  <si>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</si>
  <si>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</si>
  <si>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</si>
  <si>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</si>
  <si>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</si>
  <si>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</si>
  <si>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</si>
  <si>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</si>
  <si>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</si>
  <si>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</si>
  <si>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</si>
  <si>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</si>
  <si>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</si>
  <si>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</si>
  <si>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</si>
  <si>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</si>
  <si>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</si>
  <si>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</si>
  <si>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</si>
  <si>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</si>
  <si>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</si>
  <si>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</si>
  <si>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</si>
  <si>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</si>
  <si>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</si>
  <si>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</si>
  <si>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</si>
  <si>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</si>
  <si>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</si>
  <si>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</si>
  <si>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</si>
  <si>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</si>
  <si>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</si>
  <si>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</si>
  <si>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</si>
  <si>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</si>
  <si>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</si>
  <si>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</si>
  <si>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</si>
  <si>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</si>
  <si>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</si>
  <si>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</si>
  <si>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</si>
  <si>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</si>
  <si>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</si>
  <si>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</si>
  <si>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</si>
  <si>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</si>
  <si>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</si>
  <si>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</si>
  <si>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</si>
  <si>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</si>
  <si>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</si>
  <si>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</si>
  <si>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</si>
  <si>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</si>
  <si>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</si>
  <si>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</si>
  <si>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</si>
  <si>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</si>
  <si>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</si>
  <si>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</si>
  <si>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</si>
  <si>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</si>
  <si>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</si>
  <si>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</si>
  <si>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</si>
  <si>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</si>
  <si>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</si>
  <si>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</si>
  <si>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</si>
  <si>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</si>
  <si>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</si>
  <si>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</si>
  <si>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</si>
  <si>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</si>
  <si>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</si>
  <si>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</si>
  <si>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</si>
  <si>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</si>
  <si>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</si>
  <si>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</si>
  <si>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</si>
  <si>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</si>
  <si>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</si>
  <si>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</si>
  <si>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</si>
  <si>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</si>
  <si>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</si>
  <si>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</si>
  <si>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</si>
  <si>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</si>
  <si>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</si>
  <si>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</si>
  <si>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</si>
  <si>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</si>
  <si>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</si>
  <si>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</si>
  <si>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</si>
  <si>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</si>
  <si>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</si>
  <si>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</si>
  <si>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</si>
  <si>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</si>
  <si>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</si>
  <si>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</si>
  <si>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</si>
  <si>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</si>
  <si>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</si>
  <si>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</si>
  <si>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</si>
  <si>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</si>
  <si>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</si>
  <si>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</si>
  <si>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</si>
  <si>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</si>
  <si>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</si>
  <si>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</si>
  <si>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</si>
  <si>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</si>
  <si>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</si>
  <si>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</si>
  <si>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</si>
  <si>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</si>
  <si>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</si>
  <si>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</si>
  <si>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</si>
  <si>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</si>
  <si>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</si>
  <si>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</si>
  <si>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</si>
  <si>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</si>
  <si>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</si>
  <si>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</si>
  <si>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</si>
  <si>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</si>
  <si>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</si>
  <si>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</si>
  <si>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</si>
  <si>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</si>
  <si>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</si>
  <si>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</si>
  <si>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</si>
  <si>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</si>
  <si>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</si>
  <si>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</si>
  <si>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</si>
  <si>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</si>
  <si>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</si>
  <si>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</si>
  <si>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</si>
  <si>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</si>
  <si>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</si>
  <si>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</si>
  <si>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</si>
  <si>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</si>
  <si>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</si>
  <si>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</si>
  <si>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</si>
  <si>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</si>
  <si>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</si>
  <si>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</si>
  <si>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</si>
  <si>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</si>
  <si>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</si>
  <si>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</si>
  <si>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</si>
  <si>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</si>
  <si>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</si>
  <si>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</si>
  <si>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</si>
  <si>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</si>
  <si>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</si>
  <si>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</si>
  <si>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</si>
  <si>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</si>
  <si>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</si>
  <si>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</si>
  <si>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</si>
  <si>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</si>
  <si>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</si>
  <si>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</si>
  <si>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</si>
  <si>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</si>
  <si>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</si>
  <si>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</si>
  <si>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</si>
  <si>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</si>
  <si>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</si>
  <si>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</si>
  <si>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</si>
  <si>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</si>
  <si>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</si>
  <si>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</si>
  <si>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</si>
  <si>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</si>
  <si>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</si>
  <si>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</si>
  <si>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</si>
  <si>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</si>
  <si>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</si>
  <si>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</si>
  <si>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</si>
  <si>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</si>
  <si>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</si>
  <si>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</si>
  <si>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</si>
  <si>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</si>
  <si>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</si>
  <si>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</si>
  <si>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</si>
  <si>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</si>
  <si>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</si>
  <si>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</si>
  <si>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</si>
  <si>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</si>
  <si>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</si>
  <si>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</si>
  <si>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</si>
  <si>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</si>
  <si>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</si>
  <si>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</si>
  <si>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</si>
  <si>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</si>
  <si>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</si>
  <si>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</si>
  <si>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</si>
  <si>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</si>
  <si>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</si>
  <si>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</si>
  <si>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</si>
  <si>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</si>
  <si>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</si>
  <si>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</si>
  <si>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</si>
  <si>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</si>
  <si>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</si>
  <si>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</si>
  <si>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</si>
  <si>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</si>
  <si>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</si>
  <si>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</si>
  <si>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</si>
  <si>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</si>
  <si>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</si>
  <si>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</si>
  <si>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</si>
  <si>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</si>
  <si>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</si>
  <si>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</si>
  <si>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</si>
  <si>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</si>
  <si>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</si>
  <si>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</si>
  <si>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</si>
  <si>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</si>
  <si>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</si>
  <si>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</si>
  <si>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</si>
  <si>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</si>
  <si>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</si>
  <si>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</si>
  <si>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</si>
  <si>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</si>
  <si>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</si>
  <si>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</si>
  <si>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</si>
  <si>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</si>
  <si>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</si>
  <si>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</si>
  <si>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</si>
  <si>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</si>
  <si>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</si>
  <si>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</si>
  <si>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</si>
  <si>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</si>
  <si>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</si>
  <si>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</si>
  <si>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</si>
  <si>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</si>
  <si>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</si>
  <si>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</si>
  <si>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</si>
  <si>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</si>
  <si>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</si>
  <si>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</si>
  <si>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</si>
  <si>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</si>
  <si>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</si>
  <si>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</si>
  <si>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</si>
  <si>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</si>
  <si>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</si>
  <si>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</si>
  <si>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</si>
  <si>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</si>
  <si>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</si>
  <si>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</si>
  <si>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</si>
  <si>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</si>
  <si>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</si>
  <si>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</si>
  <si>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</si>
  <si>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</si>
  <si>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</si>
  <si>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</si>
  <si>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</si>
  <si>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</si>
  <si>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</si>
  <si>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</si>
  <si>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</si>
  <si>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</si>
  <si>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</si>
  <si>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</si>
  <si>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</si>
  <si>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</si>
  <si>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</si>
  <si>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</si>
  <si>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</si>
  <si>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</si>
  <si>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</si>
  <si>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</si>
  <si>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</si>
  <si>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</si>
  <si>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</si>
  <si>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</si>
  <si>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11056</t>
  </si>
  <si>
    <t>ZWIJNDRECHT</t>
  </si>
  <si>
    <t>Eandis (januari 2018); Infrax (juni 2018)</t>
  </si>
  <si>
    <t>MOW (september 2017)</t>
  </si>
  <si>
    <t>referentietaak LNE (2017); Jaarverslag De Lijn (2016)</t>
  </si>
  <si>
    <t>VEA (april 2018)</t>
  </si>
  <si>
    <t>VEA (januari 2017)</t>
  </si>
  <si>
    <t>VEA (juni 2018)</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</si>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</sst>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126604.2523619799</c:v>
                </c:pt>
                <c:pt idx="1">
                  <c:v>59636.703068694682</c:v>
                </c:pt>
                <c:pt idx="2">
                  <c:v>1303.54493724606</c:v>
                </c:pt>
                <c:pt idx="3">
                  <c:v>51079.239481916346</c:v>
                </c:pt>
                <c:pt idx="4">
                  <c:v>70198.167324700131</c:v>
                </c:pt>
                <c:pt idx="5">
                  <c:v>235307.57795993498</c:v>
                </c:pt>
                <c:pt idx="6">
                  <c:v>2277.9970837114156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126604.2523619799</c:v>
                </c:pt>
                <c:pt idx="1">
                  <c:v>59636.703068694682</c:v>
                </c:pt>
                <c:pt idx="2">
                  <c:v>1303.54493724606</c:v>
                </c:pt>
                <c:pt idx="3">
                  <c:v>51079.239481916346</c:v>
                </c:pt>
                <c:pt idx="4">
                  <c:v>70198.167324700131</c:v>
                </c:pt>
                <c:pt idx="5">
                  <c:v>235307.57795993498</c:v>
                </c:pt>
                <c:pt idx="6">
                  <c:v>2277.9970837114156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24911.222136069824</c:v>
                </c:pt>
                <c:pt idx="1">
                  <c:v>12087.687066205795</c:v>
                </c:pt>
                <c:pt idx="2">
                  <c:v>280.35161161726887</c:v>
                </c:pt>
                <c:pt idx="3">
                  <c:v>12289.778886877089</c:v>
                </c:pt>
                <c:pt idx="4">
                  <c:v>13629.233326434342</c:v>
                </c:pt>
                <c:pt idx="5">
                  <c:v>59016.467163672889</c:v>
                </c:pt>
                <c:pt idx="6">
                  <c:v>531.09492795555661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81312"/>
      </c:barChart>
      <c:catAx>
        <c:axId val="183085312"/>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24911.222136069824</c:v>
                </c:pt>
                <c:pt idx="1">
                  <c:v>12087.687066205795</c:v>
                </c:pt>
                <c:pt idx="2">
                  <c:v>280.35161161726887</c:v>
                </c:pt>
                <c:pt idx="3">
                  <c:v>12289.778886877089</c:v>
                </c:pt>
                <c:pt idx="4">
                  <c:v>13629.233326434342</c:v>
                </c:pt>
                <c:pt idx="5">
                  <c:v>59016.467163672889</c:v>
                </c:pt>
                <c:pt idx="6">
                  <c:v>531.09492795555661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11056</v>
      </c>
      <c r="B6" s="415"/>
      <c r="C6" s="416"/>
    </row>
    <row r="7" spans="1:7" s="413" customFormat="1" ht="15.75" customHeight="1">
      <c r="A7" s="417" t="str">
        <f>txtMunicipality</f>
        <v>ZWIJNDRECHT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8119</v>
      </c>
      <c r="C9" s="342">
        <v>8568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359.71</v>
      </c>
    </row>
    <row r="15" spans="1:6">
      <c r="A15" s="348" t="s">
        <v>184</v>
      </c>
      <c r="B15" s="334">
        <v>0</v>
      </c>
    </row>
    <row r="16" spans="1:6">
      <c r="A16" s="348" t="s">
        <v>6</v>
      </c>
      <c r="B16" s="334">
        <v>28</v>
      </c>
    </row>
    <row r="17" spans="1:6">
      <c r="A17" s="348" t="s">
        <v>7</v>
      </c>
      <c r="B17" s="334">
        <v>22</v>
      </c>
    </row>
    <row r="18" spans="1:6">
      <c r="A18" s="348" t="s">
        <v>8</v>
      </c>
      <c r="B18" s="334">
        <v>26</v>
      </c>
    </row>
    <row r="19" spans="1:6">
      <c r="A19" s="348" t="s">
        <v>9</v>
      </c>
      <c r="B19" s="334">
        <v>26</v>
      </c>
    </row>
    <row r="20" spans="1:6">
      <c r="A20" s="348" t="s">
        <v>10</v>
      </c>
      <c r="B20" s="334">
        <v>12</v>
      </c>
    </row>
    <row r="21" spans="1:6">
      <c r="A21" s="348" t="s">
        <v>11</v>
      </c>
      <c r="B21" s="334">
        <v>92</v>
      </c>
    </row>
    <row r="22" spans="1:6">
      <c r="A22" s="348" t="s">
        <v>12</v>
      </c>
      <c r="B22" s="334">
        <v>922</v>
      </c>
    </row>
    <row r="23" spans="1:6">
      <c r="A23" s="348" t="s">
        <v>13</v>
      </c>
      <c r="B23" s="334">
        <v>7</v>
      </c>
    </row>
    <row r="24" spans="1:6">
      <c r="A24" s="348" t="s">
        <v>14</v>
      </c>
      <c r="B24" s="334">
        <v>1</v>
      </c>
    </row>
    <row r="25" spans="1:6">
      <c r="A25" s="348" t="s">
        <v>15</v>
      </c>
      <c r="B25" s="334">
        <v>32</v>
      </c>
    </row>
    <row r="26" spans="1:6">
      <c r="A26" s="348" t="s">
        <v>16</v>
      </c>
      <c r="B26" s="334">
        <v>0</v>
      </c>
    </row>
    <row r="27" spans="1:6">
      <c r="A27" s="348" t="s">
        <v>17</v>
      </c>
      <c r="B27" s="334">
        <v>0</v>
      </c>
    </row>
    <row r="28" spans="1:6" s="356" customFormat="1">
      <c r="A28" s="355" t="s">
        <v>18</v>
      </c>
      <c r="B28" s="355">
        <v>0</v>
      </c>
    </row>
    <row r="29" spans="1:6">
      <c r="A29" s="355" t="s">
        <v>744</v>
      </c>
      <c r="B29" s="355">
        <v>16</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49531806.243652701</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8525.1915273056002</v>
      </c>
    </row>
    <row r="39" spans="1:6">
      <c r="A39" s="348" t="s">
        <v>30</v>
      </c>
      <c r="B39" s="348" t="s">
        <v>31</v>
      </c>
      <c r="C39" s="334">
        <v>6671</v>
      </c>
      <c r="D39" s="334">
        <v>99387670.039286599</v>
      </c>
      <c r="E39" s="334">
        <v>8161</v>
      </c>
      <c r="F39" s="334">
        <v>29106248.011936601</v>
      </c>
    </row>
    <row r="40" spans="1:6">
      <c r="A40" s="348" t="s">
        <v>30</v>
      </c>
      <c r="B40" s="348" t="s">
        <v>29</v>
      </c>
      <c r="C40" s="334">
        <v>0</v>
      </c>
      <c r="D40" s="334">
        <v>0</v>
      </c>
      <c r="E40" s="334">
        <v>0</v>
      </c>
      <c r="F40" s="334">
        <v>0</v>
      </c>
    </row>
    <row r="41" spans="1:6">
      <c r="A41" s="348" t="s">
        <v>32</v>
      </c>
      <c r="B41" s="348" t="s">
        <v>33</v>
      </c>
      <c r="C41" s="334">
        <v>48</v>
      </c>
      <c r="D41" s="334">
        <v>2499193.9137764</v>
      </c>
      <c r="E41" s="334">
        <v>85</v>
      </c>
      <c r="F41" s="334">
        <v>1954856.6114328101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2353804.0838917498</v>
      </c>
      <c r="E44" s="334">
        <v>9</v>
      </c>
      <c r="F44" s="334">
        <v>2174071.4068785901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7565839.9886828801</v>
      </c>
      <c r="E48" s="334">
        <v>27</v>
      </c>
      <c r="F48" s="334">
        <v>34364064.032796502</v>
      </c>
    </row>
    <row r="49" spans="1:6">
      <c r="A49" s="348" t="s">
        <v>32</v>
      </c>
      <c r="B49" s="348" t="s">
        <v>40</v>
      </c>
      <c r="C49" s="334">
        <v>3</v>
      </c>
      <c r="D49" s="334">
        <v>67403.088149709307</v>
      </c>
      <c r="E49" s="334">
        <v>3</v>
      </c>
      <c r="F49" s="334">
        <v>42928.243859280403</v>
      </c>
    </row>
    <row r="50" spans="1:6">
      <c r="A50" s="348" t="s">
        <v>32</v>
      </c>
      <c r="B50" s="348" t="s">
        <v>41</v>
      </c>
      <c r="C50" s="334">
        <v>4</v>
      </c>
      <c r="D50" s="334">
        <v>553153.22380081296</v>
      </c>
      <c r="E50" s="334">
        <v>6</v>
      </c>
      <c r="F50" s="334">
        <v>277983.27517020103</v>
      </c>
    </row>
    <row r="51" spans="1:6">
      <c r="A51" s="348" t="s">
        <v>42</v>
      </c>
      <c r="B51" s="348" t="s">
        <v>43</v>
      </c>
      <c r="C51" s="334">
        <v>3</v>
      </c>
      <c r="D51" s="334">
        <v>48115.505079983603</v>
      </c>
      <c r="E51" s="334">
        <v>29</v>
      </c>
      <c r="F51" s="334">
        <v>1298493.2581386</v>
      </c>
    </row>
    <row r="52" spans="1:6">
      <c r="A52" s="348" t="s">
        <v>42</v>
      </c>
      <c r="B52" s="348" t="s">
        <v>29</v>
      </c>
      <c r="C52" s="334">
        <v>8</v>
      </c>
      <c r="D52" s="334">
        <v>18945000.457945101</v>
      </c>
      <c r="E52" s="334">
        <v>1</v>
      </c>
      <c r="F52" s="334">
        <v>0.56303134600000004</v>
      </c>
    </row>
    <row r="53" spans="1:6">
      <c r="A53" s="348" t="s">
        <v>44</v>
      </c>
      <c r="B53" s="348" t="s">
        <v>45</v>
      </c>
      <c r="C53" s="334">
        <v>141</v>
      </c>
      <c r="D53" s="334">
        <v>2332571.57179442</v>
      </c>
      <c r="E53" s="334">
        <v>328</v>
      </c>
      <c r="F53" s="334">
        <v>1265940.96392275</v>
      </c>
    </row>
    <row r="54" spans="1:6">
      <c r="A54" s="348" t="s">
        <v>46</v>
      </c>
      <c r="B54" s="348" t="s">
        <v>47</v>
      </c>
      <c r="C54" s="334">
        <v>0</v>
      </c>
      <c r="D54" s="334">
        <v>0</v>
      </c>
      <c r="E54" s="334">
        <v>4</v>
      </c>
      <c r="F54" s="334">
        <v>1303544.93724606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2146458.0991777298</v>
      </c>
      <c r="E57" s="334">
        <v>85</v>
      </c>
      <c r="F57" s="334">
        <v>2776258.21338988</v>
      </c>
    </row>
    <row r="58" spans="1:6">
      <c r="A58" s="348" t="s">
        <v>49</v>
      </c>
      <c r="B58" s="348" t="s">
        <v>51</v>
      </c>
      <c r="C58" s="334">
        <v>19</v>
      </c>
      <c r="D58" s="334">
        <v>574658.90571603703</v>
      </c>
      <c r="E58" s="334">
        <v>25</v>
      </c>
      <c r="F58" s="334">
        <v>483419.35396424501</v>
      </c>
    </row>
    <row r="59" spans="1:6">
      <c r="A59" s="348" t="s">
        <v>49</v>
      </c>
      <c r="B59" s="348" t="s">
        <v>52</v>
      </c>
      <c r="C59" s="334">
        <v>104</v>
      </c>
      <c r="D59" s="334">
        <v>6817112.2404741198</v>
      </c>
      <c r="E59" s="334">
        <v>170</v>
      </c>
      <c r="F59" s="334">
        <v>8679570.4813809209</v>
      </c>
    </row>
    <row r="60" spans="1:6">
      <c r="A60" s="348" t="s">
        <v>49</v>
      </c>
      <c r="B60" s="348" t="s">
        <v>53</v>
      </c>
      <c r="C60" s="334">
        <v>51</v>
      </c>
      <c r="D60" s="334">
        <v>1756663.08943861</v>
      </c>
      <c r="E60" s="334">
        <v>57</v>
      </c>
      <c r="F60" s="334">
        <v>1299004.8669948699</v>
      </c>
    </row>
    <row r="61" spans="1:6">
      <c r="A61" s="348" t="s">
        <v>49</v>
      </c>
      <c r="B61" s="348" t="s">
        <v>54</v>
      </c>
      <c r="C61" s="334">
        <v>111</v>
      </c>
      <c r="D61" s="334">
        <v>9531411.7595760897</v>
      </c>
      <c r="E61" s="334">
        <v>311</v>
      </c>
      <c r="F61" s="334">
        <v>6271232.0587763898</v>
      </c>
    </row>
    <row r="62" spans="1:6">
      <c r="A62" s="348" t="s">
        <v>49</v>
      </c>
      <c r="B62" s="348" t="s">
        <v>55</v>
      </c>
      <c r="C62" s="334">
        <v>3</v>
      </c>
      <c r="D62" s="334">
        <v>633793.96542121295</v>
      </c>
      <c r="E62" s="334">
        <v>6</v>
      </c>
      <c r="F62" s="334">
        <v>214544.87437586501</v>
      </c>
    </row>
    <row r="63" spans="1:6">
      <c r="A63" s="348" t="s">
        <v>49</v>
      </c>
      <c r="B63" s="348" t="s">
        <v>29</v>
      </c>
      <c r="C63" s="334">
        <v>92</v>
      </c>
      <c r="D63" s="334">
        <v>7860560.2040635003</v>
      </c>
      <c r="E63" s="334">
        <v>81</v>
      </c>
      <c r="F63" s="334">
        <v>5534994.9665599102</v>
      </c>
    </row>
    <row r="64" spans="1:6">
      <c r="A64" s="348" t="s">
        <v>56</v>
      </c>
      <c r="B64" s="348" t="s">
        <v>57</v>
      </c>
      <c r="C64" s="334">
        <v>0</v>
      </c>
      <c r="D64" s="334">
        <v>0</v>
      </c>
      <c r="E64" s="334">
        <v>0</v>
      </c>
      <c r="F64" s="334">
        <v>0</v>
      </c>
    </row>
    <row r="65" spans="1:6">
      <c r="A65" s="348" t="s">
        <v>56</v>
      </c>
      <c r="B65" s="348" t="s">
        <v>29</v>
      </c>
      <c r="C65" s="334">
        <v>1</v>
      </c>
      <c r="D65" s="334">
        <v>15314.5027832776</v>
      </c>
      <c r="E65" s="334">
        <v>6</v>
      </c>
      <c r="F65" s="334">
        <v>665130.77760453895</v>
      </c>
    </row>
    <row r="66" spans="1:6">
      <c r="A66" s="348" t="s">
        <v>56</v>
      </c>
      <c r="B66" s="348" t="s">
        <v>58</v>
      </c>
      <c r="C66" s="334">
        <v>3</v>
      </c>
      <c r="D66" s="334">
        <v>42465.277252900298</v>
      </c>
      <c r="E66" s="334">
        <v>14</v>
      </c>
      <c r="F66" s="334">
        <v>710064.15466498304</v>
      </c>
    </row>
    <row r="67" spans="1:6">
      <c r="A67" s="355" t="s">
        <v>56</v>
      </c>
      <c r="B67" s="355" t="s">
        <v>59</v>
      </c>
      <c r="C67" s="334">
        <v>0</v>
      </c>
      <c r="D67" s="334">
        <v>0</v>
      </c>
      <c r="E67" s="334">
        <v>0</v>
      </c>
      <c r="F67" s="334">
        <v>0</v>
      </c>
    </row>
    <row r="68" spans="1:6">
      <c r="A68" s="341" t="s">
        <v>56</v>
      </c>
      <c r="B68" s="341" t="s">
        <v>60</v>
      </c>
      <c r="C68" s="334">
        <v>3</v>
      </c>
      <c r="D68" s="334">
        <v>208856.69399706801</v>
      </c>
      <c r="E68" s="334">
        <v>4</v>
      </c>
      <c r="F68" s="334">
        <v>220084.236138407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42441342</v>
      </c>
      <c r="E73" s="476">
        <v>41783638.994203873</v>
      </c>
    </row>
    <row r="74" spans="1:6">
      <c r="A74" s="348" t="s">
        <v>64</v>
      </c>
      <c r="B74" s="348" t="s">
        <v>657</v>
      </c>
      <c r="C74" s="1213" t="s">
        <v>659</v>
      </c>
      <c r="D74" s="476">
        <v>3786610.4717327598</v>
      </c>
      <c r="E74" s="476">
        <v>3934699.6679136986</v>
      </c>
    </row>
    <row r="75" spans="1:6">
      <c r="A75" s="348" t="s">
        <v>65</v>
      </c>
      <c r="B75" s="348" t="s">
        <v>656</v>
      </c>
      <c r="C75" s="1213" t="s">
        <v>660</v>
      </c>
      <c r="D75" s="476">
        <v>14371496</v>
      </c>
      <c r="E75" s="476">
        <v>14165060.656913327</v>
      </c>
    </row>
    <row r="76" spans="1:6">
      <c r="A76" s="348" t="s">
        <v>65</v>
      </c>
      <c r="B76" s="348" t="s">
        <v>657</v>
      </c>
      <c r="C76" s="1213" t="s">
        <v>661</v>
      </c>
      <c r="D76" s="476">
        <v>2009977.4717327598</v>
      </c>
      <c r="E76" s="476">
        <v>2093004.4511186422</v>
      </c>
    </row>
    <row r="77" spans="1:6">
      <c r="A77" s="348" t="s">
        <v>66</v>
      </c>
      <c r="B77" s="348" t="s">
        <v>656</v>
      </c>
      <c r="C77" s="1213" t="s">
        <v>662</v>
      </c>
      <c r="D77" s="476">
        <v>139663774</v>
      </c>
      <c r="E77" s="476">
        <v>143421803.81750351</v>
      </c>
    </row>
    <row r="78" spans="1:6">
      <c r="A78" s="341" t="s">
        <v>66</v>
      </c>
      <c r="B78" s="341" t="s">
        <v>657</v>
      </c>
      <c r="C78" s="341" t="s">
        <v>663</v>
      </c>
      <c r="D78" s="1214">
        <v>32956974</v>
      </c>
      <c r="E78" s="1214">
        <v>33945113.097169653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297105.05653448048</v>
      </c>
      <c r="C83" s="476">
        <v>298412.68644304917</v>
      </c>
    </row>
    <row r="84" spans="1:6">
      <c r="A84" s="341" t="s">
        <v>337</v>
      </c>
      <c r="B84" s="1214">
        <v>335473.60886200517</v>
      </c>
      <c r="C84" s="1214">
        <v>335006.33841962682</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2118.5993657502781</v>
      </c>
    </row>
    <row r="92" spans="1:6">
      <c r="A92" s="341" t="s">
        <v>69</v>
      </c>
      <c r="B92" s="342">
        <v>2872.715674198163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5156</v>
      </c>
    </row>
    <row r="98" spans="1:6">
      <c r="A98" s="348" t="s">
        <v>72</v>
      </c>
      <c r="B98" s="334">
        <v>14</v>
      </c>
    </row>
    <row r="99" spans="1:6">
      <c r="A99" s="348" t="s">
        <v>73</v>
      </c>
      <c r="B99" s="334">
        <v>13</v>
      </c>
    </row>
    <row r="100" spans="1:6">
      <c r="A100" s="348" t="s">
        <v>74</v>
      </c>
      <c r="B100" s="334">
        <v>969</v>
      </c>
    </row>
    <row r="101" spans="1:6">
      <c r="A101" s="348" t="s">
        <v>75</v>
      </c>
      <c r="B101" s="334">
        <v>49</v>
      </c>
    </row>
    <row r="102" spans="1:6">
      <c r="A102" s="348" t="s">
        <v>76</v>
      </c>
      <c r="B102" s="334">
        <v>101</v>
      </c>
    </row>
    <row r="103" spans="1:6">
      <c r="A103" s="348" t="s">
        <v>77</v>
      </c>
      <c r="B103" s="334">
        <v>138</v>
      </c>
    </row>
    <row r="104" spans="1:6">
      <c r="A104" s="348" t="s">
        <v>78</v>
      </c>
      <c r="B104" s="334">
        <v>696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v>
      </c>
      <c r="C123" s="334">
        <v>22</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99182.153543101216</v>
      </c>
      <c r="C3" s="43" t="s">
        <v>170</v>
      </c>
      <c r="D3" s="43"/>
      <c r="E3" s="154"/>
      <c r="F3" s="43"/>
      <c r="G3" s="43"/>
      <c r="H3" s="43"/>
      <c r="I3" s="43"/>
      <c r="J3" s="43"/>
      <c r="K3" s="96"/>
    </row>
    <row r="4" spans="1:11">
      <c r="A4" s="383" t="s">
        <v>171</v>
      </c>
      <c r="B4" s="49">
        <f>IF(ISERROR('SEAP template'!B69),0,'SEAP template'!B69)</f>
        <v>35915.315039948444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7348.9976470588244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0.2150686206564961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10498.568067226892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44177.142857142855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1303.54493724606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1303.54493724606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0.2150686206564961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280.35161161726887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29106.248011936601</v>
      </c>
      <c r="C5" s="17">
        <f>IF(ISERROR('Eigen informatie GS &amp; warmtenet'!B57),0,'Eigen informatie GS &amp; warmtenet'!B57)</f>
        <v>0</v>
      </c>
      <c r="D5" s="30">
        <f>(SUM(HH_hh_gas_kWh,HH_rest_gas_kWh)/1000)*0.902</f>
        <v>89647.678375436517</v>
      </c>
      <c r="E5" s="17">
        <f>B46*B57</f>
        <v>382.84690970450453</v>
      </c>
      <c r="F5" s="17">
        <f>B51*B62</f>
        <v>0</v>
      </c>
      <c r="G5" s="18"/>
      <c r="H5" s="17"/>
      <c r="I5" s="17"/>
      <c r="J5" s="17">
        <f>B50*B61+C50*C61</f>
        <v>0</v>
      </c>
      <c r="K5" s="17"/>
      <c r="L5" s="17"/>
      <c r="M5" s="17"/>
      <c r="N5" s="17">
        <f>B48*B59+C48*C59</f>
        <v>4917.7963658186827</v>
      </c>
      <c r="O5" s="17">
        <f>B69*B70*B71</f>
        <v>164.15</v>
      </c>
      <c r="P5" s="17">
        <f>B77*B78*B79/1000-B77*B78*B79/1000/B80</f>
        <v>266.93333333333334</v>
      </c>
    </row>
    <row r="6" spans="1:16">
      <c r="A6" s="16" t="s">
        <v>621</v>
      </c>
      <c r="B6" s="843">
        <f>kWh_PV_kleiner_dan_10kW</f>
        <v>2118.5993657502781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31224.847377686878</v>
      </c>
      <c r="C8" s="21">
        <f>C5</f>
        <v>0</v>
      </c>
      <c r="D8" s="21">
        <f>D5</f>
        <v>89647.678375436517</v>
      </c>
      <c r="E8" s="21">
        <f>E5</f>
        <v>382.84690970450453</v>
      </c>
      <c r="F8" s="21">
        <f>F5</f>
        <v>0</v>
      </c>
      <c r="G8" s="21"/>
      <c r="H8" s="21"/>
      <c r="I8" s="21"/>
      <c r="J8" s="21">
        <f>J5</f>
        <v>0</v>
      </c>
      <c r="K8" s="21"/>
      <c r="L8" s="21">
        <f>L5</f>
        <v>0</v>
      </c>
      <c r="M8" s="21">
        <f>M5</f>
        <v>0</v>
      </c>
      <c r="N8" s="21">
        <f>N5</f>
        <v>4917.7963658186827</v>
      </c>
      <c r="O8" s="21">
        <f>O5</f>
        <v>164.15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0.2150686206564961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6715.484855728726</v>
      </c>
      <c r="C12" s="23">
        <f ca="1">C10*C8</f>
        <v>0</v>
      </c>
      <c r="D12" s="23">
        <f>D8*D10</f>
        <v>18108.831031838177</v>
      </c>
      <c r="E12" s="23">
        <f>E10*E8</f>
        <v>86.906248502922537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5156</v>
      </c>
      <c r="C18" s="166" t="s">
        <v>111</v>
      </c>
      <c r="D18" s="228"/>
      <c r="E18" s="15"/>
    </row>
    <row r="19" spans="1:7">
      <c r="A19" s="171" t="s">
        <v>72</v>
      </c>
      <c r="B19" s="37">
        <f>aantalw2001_ander</f>
        <v>14</v>
      </c>
      <c r="C19" s="166" t="s">
        <v>111</v>
      </c>
      <c r="D19" s="229"/>
      <c r="E19" s="15"/>
    </row>
    <row r="20" spans="1:7">
      <c r="A20" s="171" t="s">
        <v>73</v>
      </c>
      <c r="B20" s="37">
        <f>aantalw2001_propaan</f>
        <v>13</v>
      </c>
      <c r="C20" s="167">
        <f>IF(ISERROR(B20/SUM($B$20,$B$21,$B$22)*100),0,B20/SUM($B$20,$B$21,$B$22)*100)</f>
        <v>1.2609117361784674</v>
      </c>
      <c r="D20" s="229"/>
      <c r="E20" s="15"/>
    </row>
    <row r="21" spans="1:7">
      <c r="A21" s="171" t="s">
        <v>74</v>
      </c>
      <c r="B21" s="37">
        <f>aantalw2001_elektriciteit</f>
        <v>969</v>
      </c>
      <c r="C21" s="167">
        <f>IF(ISERROR(B21/SUM($B$20,$B$21,$B$22)*100),0,B21/SUM($B$20,$B$21,$B$22)*100)</f>
        <v>93.986420950533471</v>
      </c>
      <c r="D21" s="229"/>
      <c r="E21" s="15"/>
    </row>
    <row r="22" spans="1:7">
      <c r="A22" s="171" t="s">
        <v>75</v>
      </c>
      <c r="B22" s="37">
        <f>aantalw2001_hout</f>
        <v>49</v>
      </c>
      <c r="C22" s="167">
        <f>IF(ISERROR(B22/SUM($B$20,$B$21,$B$22)*100),0,B22/SUM($B$20,$B$21,$B$22)*100)</f>
        <v>4.7526673132880699</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696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8119</v>
      </c>
      <c r="C28" s="36"/>
      <c r="D28" s="228"/>
    </row>
    <row r="29" spans="1:7" s="15" customFormat="1">
      <c r="A29" s="230" t="s">
        <v>795</v>
      </c>
      <c r="B29" s="37">
        <f>SUM(HH_hh_gas_aantal,HH_rest_gas_aantal)</f>
        <v>6671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6671</v>
      </c>
      <c r="C32" s="167">
        <f>IF(ISERROR(B32/SUM($B$32,$B$34,$B$35,$B$36,$B$38,$B$39)*100),0,B32/SUM($B$32,$B$34,$B$35,$B$36,$B$38,$B$39)*100)</f>
        <v>82.307217766810609</v>
      </c>
      <c r="D32" s="233"/>
      <c r="G32" s="15"/>
    </row>
    <row r="33" spans="1:7">
      <c r="A33" s="171" t="s">
        <v>72</v>
      </c>
      <c r="B33" s="34" t="s">
        <v>111</v>
      </c>
      <c r="C33" s="167"/>
      <c r="D33" s="233"/>
      <c r="G33" s="15"/>
    </row>
    <row r="34" spans="1:7">
      <c r="A34" s="171" t="s">
        <v>73</v>
      </c>
      <c r="B34" s="33">
        <f>IF((($B$28-$B$32-$B$39-$B$77-$B$38)*C20/100)&lt;0,0,($B$28-$B$32-$B$39-$B$77-$B$38)*C20/100)</f>
        <v>18.081474296799222</v>
      </c>
      <c r="C34" s="167">
        <f>IF(ISERROR(B34/SUM($B$32,$B$34,$B$35,$B$36,$B$38,$B$39)*100),0,B34/SUM($B$32,$B$34,$B$35,$B$36,$B$38,$B$39)*100)</f>
        <v>0.22309036763478374</v>
      </c>
      <c r="D34" s="233"/>
      <c r="G34" s="15"/>
    </row>
    <row r="35" spans="1:7">
      <c r="A35" s="171" t="s">
        <v>74</v>
      </c>
      <c r="B35" s="33">
        <f>IF((($B$28-$B$32-$B$39-$B$77-$B$38)*C21/100)&lt;0,0,($B$28-$B$32-$B$39-$B$77-$B$38)*C21/100)</f>
        <v>1347.7652764306499</v>
      </c>
      <c r="C35" s="167">
        <f>IF(ISERROR(B35/SUM($B$32,$B$34,$B$35,$B$36,$B$38,$B$39)*100),0,B35/SUM($B$32,$B$34,$B$35,$B$36,$B$38,$B$39)*100)</f>
        <v>16.628812787546575</v>
      </c>
      <c r="D35" s="233"/>
      <c r="G35" s="15"/>
    </row>
    <row r="36" spans="1:7">
      <c r="A36" s="171" t="s">
        <v>75</v>
      </c>
      <c r="B36" s="33">
        <f>IF((($B$28-$B$32-$B$39-$B$77-$B$38)*C22/100)&lt;0,0,($B$28-$B$32-$B$39-$B$77-$B$38)*C22/100)</f>
        <v>68.153249272550923</v>
      </c>
      <c r="C36" s="167">
        <f>IF(ISERROR(B36/SUM($B$32,$B$34,$B$35,$B$36,$B$38,$B$39)*100),0,B36/SUM($B$32,$B$34,$B$35,$B$36,$B$38,$B$39)*100)</f>
        <v>0.84087907800803108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6671</v>
      </c>
      <c r="C44" s="34" t="s">
        <v>111</v>
      </c>
      <c r="D44" s="174"/>
    </row>
    <row r="45" spans="1:7">
      <c r="A45" s="171" t="s">
        <v>72</v>
      </c>
      <c r="B45" s="33" t="str">
        <f t="shared" si="0"/>
        <v>-</v>
      </c>
      <c r="C45" s="34" t="s">
        <v>111</v>
      </c>
      <c r="D45" s="174"/>
    </row>
    <row r="46" spans="1:7">
      <c r="A46" s="171" t="s">
        <v>73</v>
      </c>
      <c r="B46" s="33">
        <f t="shared" si="0"/>
        <v>18.081474296799222</v>
      </c>
      <c r="C46" s="34" t="s">
        <v>111</v>
      </c>
      <c r="D46" s="174"/>
    </row>
    <row r="47" spans="1:7">
      <c r="A47" s="171" t="s">
        <v>74</v>
      </c>
      <c r="B47" s="33">
        <f t="shared" si="0"/>
        <v>1347.7652764306499</v>
      </c>
      <c r="C47" s="34" t="s">
        <v>111</v>
      </c>
      <c r="D47" s="174"/>
    </row>
    <row r="48" spans="1:7">
      <c r="A48" s="171" t="s">
        <v>75</v>
      </c>
      <c r="B48" s="33">
        <f t="shared" si="0"/>
        <v>68.153249272550923</v>
      </c>
      <c r="C48" s="33">
        <f>B48*10</f>
        <v>681.5324927255092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25259.024815442077</v>
      </c>
      <c r="C5" s="17">
        <f>IF(ISERROR('Eigen informatie GS &amp; warmtenet'!B58),0,'Eigen informatie GS &amp; warmtenet'!B58)</f>
        <v>0</v>
      </c>
      <c r="D5" s="30">
        <f>SUM(D6:D12)</f>
        <v>26447.233754008303</v>
      </c>
      <c r="E5" s="17">
        <f>SUM(E6:E12)</f>
        <v>408.75786424248781</v>
      </c>
      <c r="F5" s="17">
        <f>SUM(F6:F12)</f>
        <v>4571.5959701971296</v>
      </c>
      <c r="G5" s="18"/>
      <c r="H5" s="17"/>
      <c r="I5" s="17"/>
      <c r="J5" s="17">
        <f>SUM(J6:J12)</f>
        <v>7.3664813176514257E-2</v>
      </c>
      <c r="K5" s="17"/>
      <c r="L5" s="17"/>
      <c r="M5" s="17"/>
      <c r="N5" s="17">
        <f>SUM(N6:N12)</f>
        <v>2919.963190467699</v>
      </c>
      <c r="O5" s="17">
        <f>B38*B39*B40</f>
        <v>1.5633333333333335</v>
      </c>
      <c r="P5" s="17">
        <f>B46*B47*B48/1000-B46*B47*B48/1000/B49</f>
        <v>38.133333333333333</v>
      </c>
      <c r="R5" s="32"/>
    </row>
    <row r="6" spans="1:18">
      <c r="A6" s="32" t="s">
        <v>54</v>
      </c>
      <c r="B6" s="37">
        <f>B26</f>
        <v>6271.2320587763897</v>
      </c>
      <c r="C6" s="33"/>
      <c r="D6" s="37">
        <f>IF(ISERROR(TER_kantoor_gas_kWh/1000),0,TER_kantoor_gas_kWh/1000)*0.902</f>
        <v>8597.3334071376321</v>
      </c>
      <c r="E6" s="33">
        <f>$C$26*'E Balans VL '!I12/100/3.6*1000000</f>
        <v>3.9305996765304337E-2</v>
      </c>
      <c r="F6" s="33">
        <f>$C$26*('E Balans VL '!L12+'E Balans VL '!N12)/100/3.6*1000000</f>
        <v>942.39094349755396</v>
      </c>
      <c r="G6" s="34"/>
      <c r="H6" s="33"/>
      <c r="I6" s="33"/>
      <c r="J6" s="33">
        <f>$C$26*('E Balans VL '!D12+'E Balans VL '!E12)/100/3.6*1000000</f>
        <v>0</v>
      </c>
      <c r="K6" s="33"/>
      <c r="L6" s="33"/>
      <c r="M6" s="33"/>
      <c r="N6" s="33">
        <f>$C$26*'E Balans VL '!Y12/100/3.6*1000000</f>
        <v>5.997503652025439</v>
      </c>
      <c r="O6" s="33"/>
      <c r="P6" s="33"/>
      <c r="R6" s="32"/>
    </row>
    <row r="7" spans="1:18">
      <c r="A7" s="32" t="s">
        <v>53</v>
      </c>
      <c r="B7" s="37">
        <f t="shared" ref="B7:B12" si="0">B27</f>
        <v>1299.0048669948699</v>
      </c>
      <c r="C7" s="33"/>
      <c r="D7" s="37">
        <f>IF(ISERROR(TER_horeca_gas_kWh/1000),0,TER_horeca_gas_kWh/1000)*0.902</f>
        <v>1584.5101066736263</v>
      </c>
      <c r="E7" s="33">
        <f>$C$27*'E Balans VL '!I9/100/3.6*1000000</f>
        <v>18.60153332246087</v>
      </c>
      <c r="F7" s="33">
        <f>$C$27*('E Balans VL '!L9+'E Balans VL '!N9)/100/3.6*1000000</f>
        <v>164.4968589926211</v>
      </c>
      <c r="G7" s="34"/>
      <c r="H7" s="33"/>
      <c r="I7" s="33"/>
      <c r="J7" s="33">
        <f>$C$27*('E Balans VL '!D9+'E Balans VL '!E9)/100/3.6*1000000</f>
        <v>0</v>
      </c>
      <c r="K7" s="33"/>
      <c r="L7" s="33"/>
      <c r="M7" s="33"/>
      <c r="N7" s="33">
        <f>$C$27*'E Balans VL '!Y9/100/3.6*1000000</f>
        <v>0.37343525866220723</v>
      </c>
      <c r="O7" s="33"/>
      <c r="P7" s="33"/>
      <c r="R7" s="32"/>
    </row>
    <row r="8" spans="1:18">
      <c r="A8" s="6" t="s">
        <v>52</v>
      </c>
      <c r="B8" s="37">
        <f t="shared" si="0"/>
        <v>8679.5704813809207</v>
      </c>
      <c r="C8" s="33"/>
      <c r="D8" s="37">
        <f>IF(ISERROR(TER_handel_gas_kWh/1000),0,TER_handel_gas_kWh/1000)*0.902</f>
        <v>6149.0352409076568</v>
      </c>
      <c r="E8" s="33">
        <f>$C$28*'E Balans VL '!I13/100/3.6*1000000</f>
        <v>314.80695104300605</v>
      </c>
      <c r="F8" s="33">
        <f>$C$28*('E Balans VL '!L13+'E Balans VL '!N13)/100/3.6*1000000</f>
        <v>1671.7731609527218</v>
      </c>
      <c r="G8" s="34"/>
      <c r="H8" s="33"/>
      <c r="I8" s="33"/>
      <c r="J8" s="33">
        <f>$C$28*('E Balans VL '!D13+'E Balans VL '!E13)/100/3.6*1000000</f>
        <v>0</v>
      </c>
      <c r="K8" s="33"/>
      <c r="L8" s="33"/>
      <c r="M8" s="33"/>
      <c r="N8" s="33">
        <f>$C$28*'E Balans VL '!Y13/100/3.6*1000000</f>
        <v>12.023202196813237</v>
      </c>
      <c r="O8" s="33"/>
      <c r="P8" s="33"/>
      <c r="R8" s="32"/>
    </row>
    <row r="9" spans="1:18">
      <c r="A9" s="32" t="s">
        <v>51</v>
      </c>
      <c r="B9" s="37">
        <f t="shared" si="0"/>
        <v>483.41935396424503</v>
      </c>
      <c r="C9" s="33"/>
      <c r="D9" s="37">
        <f>IF(ISERROR(TER_gezond_gas_kWh/1000),0,TER_gezond_gas_kWh/1000)*0.902</f>
        <v>518.34233295586534</v>
      </c>
      <c r="E9" s="33">
        <f>$C$29*'E Balans VL '!I10/100/3.6*1000000</f>
        <v>3.0266824462007198E-2</v>
      </c>
      <c r="F9" s="33">
        <f>$C$29*('E Balans VL '!L10+'E Balans VL '!N10)/100/3.6*1000000</f>
        <v>71.813416903147754</v>
      </c>
      <c r="G9" s="34"/>
      <c r="H9" s="33"/>
      <c r="I9" s="33"/>
      <c r="J9" s="33">
        <f>$C$29*('E Balans VL '!D10+'E Balans VL '!E10)/100/3.6*1000000</f>
        <v>0</v>
      </c>
      <c r="K9" s="33"/>
      <c r="L9" s="33"/>
      <c r="M9" s="33"/>
      <c r="N9" s="33">
        <f>$C$29*'E Balans VL '!Y10/100/3.6*1000000</f>
        <v>7.4775772130992912</v>
      </c>
      <c r="O9" s="33"/>
      <c r="P9" s="33"/>
      <c r="R9" s="32"/>
    </row>
    <row r="10" spans="1:18">
      <c r="A10" s="32" t="s">
        <v>50</v>
      </c>
      <c r="B10" s="37">
        <f t="shared" si="0"/>
        <v>2776.25821338988</v>
      </c>
      <c r="C10" s="33"/>
      <c r="D10" s="37">
        <f>IF(ISERROR(TER_ander_gas_kWh/1000),0,TER_ander_gas_kWh/1000)*0.902</f>
        <v>1936.1052054583124</v>
      </c>
      <c r="E10" s="33">
        <f>$C$30*'E Balans VL '!I14/100/3.6*1000000</f>
        <v>3.3092005836551781</v>
      </c>
      <c r="F10" s="33">
        <f>$C$30*('E Balans VL '!L14+'E Balans VL '!N14)/100/3.6*1000000</f>
        <v>726.39257136894958</v>
      </c>
      <c r="G10" s="34"/>
      <c r="H10" s="33"/>
      <c r="I10" s="33"/>
      <c r="J10" s="33">
        <f>$C$30*('E Balans VL '!D14+'E Balans VL '!E14)/100/3.6*1000000</f>
        <v>6.0261683180988589E-2</v>
      </c>
      <c r="K10" s="33"/>
      <c r="L10" s="33"/>
      <c r="M10" s="33"/>
      <c r="N10" s="33">
        <f>$C$30*'E Balans VL '!Y14/100/3.6*1000000</f>
        <v>2357.5305407284445</v>
      </c>
      <c r="O10" s="33"/>
      <c r="P10" s="33"/>
      <c r="R10" s="32"/>
    </row>
    <row r="11" spans="1:18">
      <c r="A11" s="32" t="s">
        <v>55</v>
      </c>
      <c r="B11" s="37">
        <f t="shared" si="0"/>
        <v>214.54487437586502</v>
      </c>
      <c r="C11" s="33"/>
      <c r="D11" s="37">
        <f>IF(ISERROR(TER_onderwijs_gas_kWh/1000),0,TER_onderwijs_gas_kWh/1000)*0.902</f>
        <v>571.6821568099341</v>
      </c>
      <c r="E11" s="33">
        <f>$C$31*'E Balans VL '!I11/100/3.6*1000000</f>
        <v>3.2371365969526757</v>
      </c>
      <c r="F11" s="33">
        <f>$C$31*('E Balans VL '!L11+'E Balans VL '!N11)/100/3.6*1000000</f>
        <v>37.591689446985391</v>
      </c>
      <c r="G11" s="34"/>
      <c r="H11" s="33"/>
      <c r="I11" s="33"/>
      <c r="J11" s="33">
        <f>$C$31*('E Balans VL '!D11+'E Balans VL '!E11)/100/3.6*1000000</f>
        <v>0</v>
      </c>
      <c r="K11" s="33"/>
      <c r="L11" s="33"/>
      <c r="M11" s="33"/>
      <c r="N11" s="33">
        <f>$C$31*'E Balans VL '!Y11/100/3.6*1000000</f>
        <v>0.60374558681616197</v>
      </c>
      <c r="O11" s="33"/>
      <c r="P11" s="33"/>
      <c r="R11" s="32"/>
    </row>
    <row r="12" spans="1:18">
      <c r="A12" s="32" t="s">
        <v>260</v>
      </c>
      <c r="B12" s="37">
        <f t="shared" si="0"/>
        <v>5534.9949665599106</v>
      </c>
      <c r="C12" s="33"/>
      <c r="D12" s="37">
        <f>IF(ISERROR(TER_rest_gas_kWh/1000),0,TER_rest_gas_kWh/1000)*0.902</f>
        <v>7090.2253040652777</v>
      </c>
      <c r="E12" s="33">
        <f>$C$32*'E Balans VL '!I8/100/3.6*1000000</f>
        <v>68.733469875185705</v>
      </c>
      <c r="F12" s="33">
        <f>$C$32*('E Balans VL '!L8+'E Balans VL '!N8)/100/3.6*1000000</f>
        <v>957.13732903514972</v>
      </c>
      <c r="G12" s="34"/>
      <c r="H12" s="33"/>
      <c r="I12" s="33"/>
      <c r="J12" s="33">
        <f>$C$32*('E Balans VL '!D8+'E Balans VL '!E8)/100/3.6*1000000</f>
        <v>1.3403129995525667E-2</v>
      </c>
      <c r="K12" s="33"/>
      <c r="L12" s="33"/>
      <c r="M12" s="33"/>
      <c r="N12" s="33">
        <f>$C$32*'E Balans VL '!Y8/100/3.6*1000000</f>
        <v>535.95718583183782</v>
      </c>
      <c r="O12" s="33"/>
      <c r="P12" s="33"/>
      <c r="R12" s="32"/>
    </row>
    <row r="13" spans="1:18">
      <c r="A13" s="16" t="s">
        <v>488</v>
      </c>
      <c r="B13" s="247">
        <f ca="1">'lokale energieproductie'!N90+'lokale energieproductie'!N59</f>
        <v>22.5</v>
      </c>
      <c r="C13" s="247">
        <f ca="1">'lokale energieproductie'!O90+'lokale energieproductie'!O59</f>
        <v>32.142857142857146</v>
      </c>
      <c r="D13" s="310">
        <f ca="1">('lokale energieproductie'!P59+'lokale energieproductie'!P90)*(-1)</f>
        <v>-64.285714285714292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25281.524815442077</v>
      </c>
      <c r="C16" s="21">
        <f t="shared" ca="1" si="1"/>
        <v>32.142857142857146</v>
      </c>
      <c r="D16" s="21">
        <f t="shared" ca="1" si="1"/>
        <v>26382.948039722589</v>
      </c>
      <c r="E16" s="21">
        <f t="shared" si="1"/>
        <v>408.75786424248781</v>
      </c>
      <c r="F16" s="21">
        <f t="shared" ca="1" si="1"/>
        <v>4571.5959701971296</v>
      </c>
      <c r="G16" s="21">
        <f t="shared" si="1"/>
        <v>0</v>
      </c>
      <c r="H16" s="21">
        <f t="shared" si="1"/>
        <v>0</v>
      </c>
      <c r="I16" s="21">
        <f t="shared" si="1"/>
        <v>0</v>
      </c>
      <c r="J16" s="21">
        <f t="shared" si="1"/>
        <v>7.3664813176514257E-2</v>
      </c>
      <c r="K16" s="21">
        <f t="shared" si="1"/>
        <v>0</v>
      </c>
      <c r="L16" s="21">
        <f t="shared" ca="1" si="1"/>
        <v>0</v>
      </c>
      <c r="M16" s="21">
        <f t="shared" si="1"/>
        <v>0</v>
      </c>
      <c r="N16" s="21">
        <f t="shared" ca="1" si="1"/>
        <v>2919.963190467699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0.2150686206564961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5437.2626701501049</v>
      </c>
      <c r="C20" s="23">
        <f t="shared" ref="C20:P20" ca="1" si="2">C16*C18</f>
        <v>7.6386554621848752</v>
      </c>
      <c r="D20" s="23">
        <f t="shared" ca="1" si="2"/>
        <v>5329.3555040239635</v>
      </c>
      <c r="E20" s="23">
        <f t="shared" si="2"/>
        <v>92.788035183044741</v>
      </c>
      <c r="F20" s="23">
        <f t="shared" ca="1" si="2"/>
        <v>1220.6161240426336</v>
      </c>
      <c r="G20" s="23">
        <f t="shared" si="2"/>
        <v>0</v>
      </c>
      <c r="H20" s="23">
        <f t="shared" si="2"/>
        <v>0</v>
      </c>
      <c r="I20" s="23">
        <f t="shared" si="2"/>
        <v>0</v>
      </c>
      <c r="J20" s="23">
        <f t="shared" si="2"/>
        <v>2.6077343864486045E-2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6271.2320587763897</v>
      </c>
      <c r="C26" s="39">
        <f>IF(ISERROR(B26*3.6/1000000/'E Balans VL '!Z12*100),0,B26*3.6/1000000/'E Balans VL '!Z12*100)</f>
        <v>0.13256391128849718</v>
      </c>
      <c r="D26" s="237" t="s">
        <v>754</v>
      </c>
      <c r="F26" s="6"/>
    </row>
    <row r="27" spans="1:18">
      <c r="A27" s="231" t="s">
        <v>53</v>
      </c>
      <c r="B27" s="33">
        <f>IF(ISERROR(TER_horeca_ele_kWh/1000),0,TER_horeca_ele_kWh/1000)</f>
        <v>1299.0048669948699</v>
      </c>
      <c r="C27" s="39">
        <f>IF(ISERROR(B27*3.6/1000000/'E Balans VL '!Z9*100),0,B27*3.6/1000000/'E Balans VL '!Z9*100)</f>
        <v>0.1024000695013742</v>
      </c>
      <c r="D27" s="237" t="s">
        <v>754</v>
      </c>
      <c r="F27" s="6"/>
    </row>
    <row r="28" spans="1:18">
      <c r="A28" s="171" t="s">
        <v>52</v>
      </c>
      <c r="B28" s="33">
        <f>IF(ISERROR(TER_handel_ele_kWh/1000),0,TER_handel_ele_kWh/1000)</f>
        <v>8679.5704813809207</v>
      </c>
      <c r="C28" s="39">
        <f>IF(ISERROR(B28*3.6/1000000/'E Balans VL '!Z13*100),0,B28*3.6/1000000/'E Balans VL '!Z13*100)</f>
        <v>0.25191620476415882</v>
      </c>
      <c r="D28" s="237" t="s">
        <v>754</v>
      </c>
      <c r="F28" s="6"/>
    </row>
    <row r="29" spans="1:18">
      <c r="A29" s="231" t="s">
        <v>51</v>
      </c>
      <c r="B29" s="33">
        <f>IF(ISERROR(TER_gezond_ele_kWh/1000),0,TER_gezond_ele_kWh/1000)</f>
        <v>483.41935396424503</v>
      </c>
      <c r="C29" s="39">
        <f>IF(ISERROR(B29*3.6/1000000/'E Balans VL '!Z10*100),0,B29*3.6/1000000/'E Balans VL '!Z10*100)</f>
        <v>5.0911995927758427E-2</v>
      </c>
      <c r="D29" s="237" t="s">
        <v>754</v>
      </c>
      <c r="F29" s="6"/>
    </row>
    <row r="30" spans="1:18">
      <c r="A30" s="231" t="s">
        <v>50</v>
      </c>
      <c r="B30" s="33">
        <f>IF(ISERROR(TER_ander_ele_kWh/1000),0,TER_ander_ele_kWh/1000)</f>
        <v>2776.25821338988</v>
      </c>
      <c r="C30" s="39">
        <f>IF(ISERROR(B30*3.6/1000000/'E Balans VL '!Z14*100),0,B30*3.6/1000000/'E Balans VL '!Z14*100)</f>
        <v>0.20477740881992196</v>
      </c>
      <c r="D30" s="237" t="s">
        <v>754</v>
      </c>
      <c r="F30" s="6"/>
    </row>
    <row r="31" spans="1:18">
      <c r="A31" s="231" t="s">
        <v>55</v>
      </c>
      <c r="B31" s="33">
        <f>IF(ISERROR(TER_onderwijs_ele_kWh/1000),0,TER_onderwijs_ele_kWh/1000)</f>
        <v>214.54487437586502</v>
      </c>
      <c r="C31" s="39">
        <f>IF(ISERROR(B31*3.6/1000000/'E Balans VL '!Z11*100),0,B31*3.6/1000000/'E Balans VL '!Z11*100)</f>
        <v>5.3281542181300823E-2</v>
      </c>
      <c r="D31" s="237" t="s">
        <v>754</v>
      </c>
    </row>
    <row r="32" spans="1:18">
      <c r="A32" s="231" t="s">
        <v>260</v>
      </c>
      <c r="B32" s="33">
        <f>IF(ISERROR(TER_rest_ele_kWh/1000),0,TER_rest_ele_kWh/1000)</f>
        <v>5534.9949665599106</v>
      </c>
      <c r="C32" s="39">
        <f>IF(ISERROR(B32*3.6/1000000/'E Balans VL '!Z8*100),0,B32*3.6/1000000/'E Balans VL '!Z8*100)</f>
        <v>4.5545661615807725E-2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38813.90357013738</v>
      </c>
      <c r="C5" s="17">
        <f>IF(ISERROR('Eigen informatie GS &amp; warmtenet'!B59),0,'Eigen informatie GS &amp; warmtenet'!B59)</f>
        <v>0</v>
      </c>
      <c r="D5" s="30">
        <f>SUM(D6:D15)</f>
        <v>11761.533657068001</v>
      </c>
      <c r="E5" s="17">
        <f>SUM(E6:E15)</f>
        <v>2489.5908432702777</v>
      </c>
      <c r="F5" s="17">
        <f>SUM(F6:F15)</f>
        <v>8603.2347148064291</v>
      </c>
      <c r="G5" s="18"/>
      <c r="H5" s="17"/>
      <c r="I5" s="17"/>
      <c r="J5" s="17">
        <f>SUM(J6:J15)</f>
        <v>123.02269578316132</v>
      </c>
      <c r="K5" s="17"/>
      <c r="L5" s="17"/>
      <c r="M5" s="17"/>
      <c r="N5" s="17">
        <f>SUM(N6:N15)</f>
        <v>8406.8818436348793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2174.0714068785901</v>
      </c>
      <c r="C8" s="33"/>
      <c r="D8" s="37">
        <f>IF( ISERROR(IND_metaal_Gas_kWH/1000),0,IND_metaal_Gas_kWH/1000)*0.902</f>
        <v>2123.1312836703587</v>
      </c>
      <c r="E8" s="33">
        <f>C30*'E Balans VL '!I18/100/3.6*1000000</f>
        <v>19.988486848115308</v>
      </c>
      <c r="F8" s="33">
        <f>C30*'E Balans VL '!L18/100/3.6*1000000+C30*'E Balans VL '!N18/100/3.6*1000000</f>
        <v>203.85551580122231</v>
      </c>
      <c r="G8" s="34"/>
      <c r="H8" s="33"/>
      <c r="I8" s="33"/>
      <c r="J8" s="40">
        <f>C30*'E Balans VL '!D18/100/3.6*1000000+C30*'E Balans VL '!E18/100/3.6*1000000</f>
        <v>0</v>
      </c>
      <c r="K8" s="33"/>
      <c r="L8" s="33"/>
      <c r="M8" s="33"/>
      <c r="N8" s="33">
        <f>C30*'E Balans VL '!Y18/100/3.6*1000000</f>
        <v>31.016721423419717</v>
      </c>
      <c r="O8" s="33"/>
      <c r="P8" s="33"/>
      <c r="R8" s="32"/>
    </row>
    <row r="9" spans="1:18">
      <c r="A9" s="6" t="s">
        <v>33</v>
      </c>
      <c r="B9" s="37">
        <f t="shared" si="0"/>
        <v>1954.85661143281</v>
      </c>
      <c r="C9" s="33"/>
      <c r="D9" s="37">
        <f>IF( ISERROR(IND_andere_gas_kWh/1000),0,IND_andere_gas_kWh/1000)*0.902</f>
        <v>2254.2729102263129</v>
      </c>
      <c r="E9" s="33">
        <f>C31*'E Balans VL '!I19/100/3.6*1000000</f>
        <v>571.44264409128857</v>
      </c>
      <c r="F9" s="33">
        <f>C31*'E Balans VL '!L19/100/3.6*1000000+C31*'E Balans VL '!N19/100/3.6*1000000</f>
        <v>1570.8752563354756</v>
      </c>
      <c r="G9" s="34"/>
      <c r="H9" s="33"/>
      <c r="I9" s="33"/>
      <c r="J9" s="40">
        <f>C31*'E Balans VL '!D19/100/3.6*1000000+C31*'E Balans VL '!E19/100/3.6*1000000</f>
        <v>0</v>
      </c>
      <c r="K9" s="33"/>
      <c r="L9" s="33"/>
      <c r="M9" s="33"/>
      <c r="N9" s="33">
        <f>C31*'E Balans VL '!Y19/100/3.6*1000000</f>
        <v>645.91494209391863</v>
      </c>
      <c r="O9" s="33"/>
      <c r="P9" s="33"/>
      <c r="R9" s="32"/>
    </row>
    <row r="10" spans="1:18">
      <c r="A10" s="6" t="s">
        <v>41</v>
      </c>
      <c r="B10" s="37">
        <f t="shared" si="0"/>
        <v>277.98327517020101</v>
      </c>
      <c r="C10" s="33"/>
      <c r="D10" s="37">
        <f>IF( ISERROR(IND_voed_gas_kWh/1000),0,IND_voed_gas_kWh/1000)*0.902</f>
        <v>498.94420786833331</v>
      </c>
      <c r="E10" s="33">
        <f>C32*'E Balans VL '!I20/100/3.6*1000000</f>
        <v>0.58807792880429099</v>
      </c>
      <c r="F10" s="33">
        <f>C32*'E Balans VL '!L20/100/3.6*1000000+C32*'E Balans VL '!N20/100/3.6*1000000</f>
        <v>17.674460586910214</v>
      </c>
      <c r="G10" s="34"/>
      <c r="H10" s="33"/>
      <c r="I10" s="33"/>
      <c r="J10" s="40">
        <f>C32*'E Balans VL '!D20/100/3.6*1000000+C32*'E Balans VL '!E20/100/3.6*1000000</f>
        <v>0</v>
      </c>
      <c r="K10" s="33"/>
      <c r="L10" s="33"/>
      <c r="M10" s="33"/>
      <c r="N10" s="33">
        <f>C32*'E Balans VL '!Y20/100/3.6*1000000</f>
        <v>19.183589192732342</v>
      </c>
      <c r="O10" s="33"/>
      <c r="P10" s="33"/>
      <c r="R10" s="32"/>
    </row>
    <row r="11" spans="1:18">
      <c r="A11" s="6" t="s">
        <v>40</v>
      </c>
      <c r="B11" s="37">
        <f t="shared" si="0"/>
        <v>42.9282438592804</v>
      </c>
      <c r="C11" s="33"/>
      <c r="D11" s="37">
        <f>IF( ISERROR(IND_textiel_gas_kWh/1000),0,IND_textiel_gas_kWh/1000)*0.902</f>
        <v>60.797585511037795</v>
      </c>
      <c r="E11" s="33">
        <f>C33*'E Balans VL '!I21/100/3.6*1000000</f>
        <v>0.12749318313592814</v>
      </c>
      <c r="F11" s="33">
        <f>C33*'E Balans VL '!L21/100/3.6*1000000+C33*'E Balans VL '!N21/100/3.6*1000000</f>
        <v>4.3369311868002223</v>
      </c>
      <c r="G11" s="34"/>
      <c r="H11" s="33"/>
      <c r="I11" s="33"/>
      <c r="J11" s="40">
        <f>C33*'E Balans VL '!D21/100/3.6*1000000+C33*'E Balans VL '!E21/100/3.6*1000000</f>
        <v>0</v>
      </c>
      <c r="K11" s="33"/>
      <c r="L11" s="33"/>
      <c r="M11" s="33"/>
      <c r="N11" s="33">
        <f>C33*'E Balans VL '!Y21/100/3.6*1000000</f>
        <v>2.3676296480728545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34364.064032796501</v>
      </c>
      <c r="C15" s="33"/>
      <c r="D15" s="37">
        <f>IF( ISERROR(IND_rest_gas_kWh/1000),0,IND_rest_gas_kWh/1000)*0.902</f>
        <v>6824.3876697919577</v>
      </c>
      <c r="E15" s="33">
        <f>C37*'E Balans VL '!I15/100/3.6*1000000</f>
        <v>1897.4441412189335</v>
      </c>
      <c r="F15" s="33">
        <f>C37*'E Balans VL '!L15/100/3.6*1000000+C37*'E Balans VL '!N15/100/3.6*1000000</f>
        <v>6806.4925508960214</v>
      </c>
      <c r="G15" s="34"/>
      <c r="H15" s="33"/>
      <c r="I15" s="33"/>
      <c r="J15" s="40">
        <f>C37*'E Balans VL '!D15/100/3.6*1000000+C37*'E Balans VL '!E15/100/3.6*1000000</f>
        <v>123.02269578316132</v>
      </c>
      <c r="K15" s="33"/>
      <c r="L15" s="33"/>
      <c r="M15" s="33"/>
      <c r="N15" s="33">
        <f>C37*'E Balans VL '!Y15/100/3.6*1000000</f>
        <v>7708.3989612767364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38813.90357013738</v>
      </c>
      <c r="C18" s="21">
        <f>C5+C16</f>
        <v>0</v>
      </c>
      <c r="D18" s="21">
        <f>MAX((D5+D16),0)</f>
        <v>11761.533657068001</v>
      </c>
      <c r="E18" s="21">
        <f>MAX((E5+E16),0)</f>
        <v>2489.5908432702777</v>
      </c>
      <c r="F18" s="21">
        <f>MAX((F5+F16),0)</f>
        <v>8603.2347148064291</v>
      </c>
      <c r="G18" s="21"/>
      <c r="H18" s="21"/>
      <c r="I18" s="21"/>
      <c r="J18" s="21">
        <f>MAX((J5+J16),0)</f>
        <v>123.02269578316132</v>
      </c>
      <c r="K18" s="21"/>
      <c r="L18" s="21">
        <f>MAX((L5+L16),0)</f>
        <v>0</v>
      </c>
      <c r="M18" s="21"/>
      <c r="N18" s="21">
        <f>MAX((N5+N16),0)</f>
        <v>8406.8818436348793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0.2150686206564961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8347.6527031236965</v>
      </c>
      <c r="C22" s="23">
        <f ca="1">C18*C20</f>
        <v>0</v>
      </c>
      <c r="D22" s="23">
        <f>D18*D20</f>
        <v>2375.8297987277365</v>
      </c>
      <c r="E22" s="23">
        <f>E18*E20</f>
        <v>565.13712142235306</v>
      </c>
      <c r="F22" s="23">
        <f>F18*F20</f>
        <v>2297.0636688533168</v>
      </c>
      <c r="G22" s="23"/>
      <c r="H22" s="23"/>
      <c r="I22" s="23"/>
      <c r="J22" s="23">
        <f>J18*J20</f>
        <v>43.550034307239109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2174.0714068785901</v>
      </c>
      <c r="C30" s="39">
        <f>IF(ISERROR(B30*3.6/1000000/'E Balans VL '!Z18*100),0,B30*3.6/1000000/'E Balans VL '!Z18*100)</f>
        <v>0.12321020131150826</v>
      </c>
      <c r="D30" s="237" t="s">
        <v>754</v>
      </c>
    </row>
    <row r="31" spans="1:18">
      <c r="A31" s="6" t="s">
        <v>33</v>
      </c>
      <c r="B31" s="37">
        <f>IF( ISERROR(IND_ander_ele_kWh/1000),0,IND_ander_ele_kWh/1000)</f>
        <v>1954.85661143281</v>
      </c>
      <c r="C31" s="39">
        <f>IF(ISERROR(B31*3.6/1000000/'E Balans VL '!Z19*100),0,B31*3.6/1000000/'E Balans VL '!Z19*100)</f>
        <v>8.8664156013334397E-2</v>
      </c>
      <c r="D31" s="237" t="s">
        <v>754</v>
      </c>
    </row>
    <row r="32" spans="1:18">
      <c r="A32" s="171" t="s">
        <v>41</v>
      </c>
      <c r="B32" s="37">
        <f>IF( ISERROR(IND_voed_ele_kWh/1000),0,IND_voed_ele_kWh/1000)</f>
        <v>277.98327517020101</v>
      </c>
      <c r="C32" s="39">
        <f>IF(ISERROR(B32*3.6/1000000/'E Balans VL '!Z20*100),0,B32*3.6/1000000/'E Balans VL '!Z20*100)</f>
        <v>8.5992846385312734E-3</v>
      </c>
      <c r="D32" s="237" t="s">
        <v>754</v>
      </c>
    </row>
    <row r="33" spans="1:5">
      <c r="A33" s="171" t="s">
        <v>40</v>
      </c>
      <c r="B33" s="37">
        <f>IF( ISERROR(IND_textiel_ele_kWh/1000),0,IND_textiel_ele_kWh/1000)</f>
        <v>42.9282438592804</v>
      </c>
      <c r="C33" s="39">
        <f>IF(ISERROR(B33*3.6/1000000/'E Balans VL '!Z21*100),0,B33*3.6/1000000/'E Balans VL '!Z21*100)</f>
        <v>5.5973658275220196E-3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34364.064032796501</v>
      </c>
      <c r="C37" s="39">
        <f>IF(ISERROR(B37*3.6/1000000/'E Balans VL '!Z15*100),0,B37*3.6/1000000/'E Balans VL '!Z15*100)</f>
        <v>0.27237741054426101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1298.4938211699462</v>
      </c>
      <c r="C5" s="17">
        <f>'Eigen informatie GS &amp; warmtenet'!B60</f>
        <v>0</v>
      </c>
      <c r="D5" s="30">
        <f>IF(ISERROR(SUM(LB_lb_gas_kWh,LB_rest_gas_kWh,onbekend_gas_kWh)/1000),0,SUM(LB_lb_gas_kWh,LB_rest_gas_kWh,onbekend_gas_kWh)/1000)*0.902</f>
        <v>19235.770156407194</v>
      </c>
      <c r="E5" s="17">
        <f>B17*'E Balans VL '!I25/3.6*1000000/100</f>
        <v>38.166699462082917</v>
      </c>
      <c r="F5" s="17">
        <f>B17*('E Balans VL '!L25/3.6*1000000+'E Balans VL '!N25/3.6*1000000)/100</f>
        <v>5409.4550920707979</v>
      </c>
      <c r="G5" s="18"/>
      <c r="H5" s="17"/>
      <c r="I5" s="17"/>
      <c r="J5" s="17">
        <f>('E Balans VL '!D25+'E Balans VL '!E25)/3.6*1000000*landbouw!B17/100</f>
        <v>188.12386921351367</v>
      </c>
      <c r="K5" s="17"/>
      <c r="L5" s="17">
        <f>L6*(-1)</f>
        <v>0</v>
      </c>
      <c r="M5" s="17"/>
      <c r="N5" s="17">
        <f>N6*(-1)</f>
        <v>0</v>
      </c>
      <c r="O5" s="17"/>
      <c r="P5" s="17"/>
      <c r="R5" s="32"/>
    </row>
    <row r="6" spans="1:18">
      <c r="A6" s="16" t="s">
        <v>488</v>
      </c>
      <c r="B6" s="17" t="s">
        <v>211</v>
      </c>
      <c r="C6" s="17">
        <f>'lokale energieproductie'!O91+'lokale energieproductie'!O60</f>
        <v>44145</v>
      </c>
      <c r="D6" s="310">
        <f>('lokale energieproductie'!P60+'lokale energieproductie'!P91)*(-1)</f>
        <v>-88290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1298.4938211699462</v>
      </c>
      <c r="C8" s="21">
        <f>C5+C6</f>
        <v>44145</v>
      </c>
      <c r="D8" s="21">
        <f>MAX((D5+D6),0)</f>
        <v>0</v>
      </c>
      <c r="E8" s="21">
        <f>MAX((E5+E6),0)</f>
        <v>38.166699462082917</v>
      </c>
      <c r="F8" s="21">
        <f>MAX((F5+F6),0)</f>
        <v>5409.4550920707979</v>
      </c>
      <c r="G8" s="21"/>
      <c r="H8" s="21"/>
      <c r="I8" s="21"/>
      <c r="J8" s="21">
        <f>MAX((J5+J6),0)</f>
        <v>188.12386921351367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0.2150686206564961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279.26527505000325</v>
      </c>
      <c r="C12" s="23">
        <f ca="1">C8*C10</f>
        <v>10490.929411764706</v>
      </c>
      <c r="D12" s="23">
        <f>D8*D10</f>
        <v>0</v>
      </c>
      <c r="E12" s="23">
        <f>E8*E10</f>
        <v>8.6638407778928226</v>
      </c>
      <c r="F12" s="23">
        <f>F8*F10</f>
        <v>1444.3245095829031</v>
      </c>
      <c r="G12" s="23"/>
      <c r="H12" s="23"/>
      <c r="I12" s="23"/>
      <c r="J12" s="23">
        <f>J8*J10</f>
        <v>66.59584970158383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0.184260347124138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10.777326994188378</v>
      </c>
      <c r="C26" s="247">
        <f>B26*'GWP N2O_CH4'!B5</f>
        <v>226.32386687795594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6.3686236777718639</v>
      </c>
      <c r="C27" s="247">
        <f>B27*'GWP N2O_CH4'!B5</f>
        <v>133.74109723320913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0.13634266975753478</v>
      </c>
      <c r="C28" s="247">
        <f>B28*'GWP N2O_CH4'!B4</f>
        <v>42.266227624835786</v>
      </c>
      <c r="D28" s="50"/>
    </row>
    <row r="29" spans="1:4">
      <c r="A29" s="41" t="s">
        <v>277</v>
      </c>
      <c r="B29" s="247">
        <f>B34*'ha_N2O bodem landbouw'!B4</f>
        <v>2.3403597288952742</v>
      </c>
      <c r="C29" s="247">
        <f>B29*'GWP N2O_CH4'!B4</f>
        <v>725.51151595753504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5.3406202489547693E-4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2.7826038064908794E-4</v>
      </c>
      <c r="C5" s="463" t="s">
        <v>211</v>
      </c>
      <c r="D5" s="448">
        <f>SUM(D6:D11)</f>
        <v>9.0943495991620499E-4</v>
      </c>
      <c r="E5" s="448">
        <f>SUM(E6:E11)</f>
        <v>1.4395002917162727E-3</v>
      </c>
      <c r="F5" s="461" t="s">
        <v>211</v>
      </c>
      <c r="G5" s="448">
        <f>SUM(G6:G11)</f>
        <v>0.69461798715185474</v>
      </c>
      <c r="H5" s="448">
        <f>SUM(H6:H11)</f>
        <v>0.10612836030242964</v>
      </c>
      <c r="I5" s="463" t="s">
        <v>211</v>
      </c>
      <c r="J5" s="463" t="s">
        <v>211</v>
      </c>
      <c r="K5" s="463" t="s">
        <v>211</v>
      </c>
      <c r="L5" s="463" t="s">
        <v>211</v>
      </c>
      <c r="M5" s="448">
        <f>SUM(M6:M11)</f>
        <v>4.3733737569200001E-2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6.0107632455399445E-5</v>
      </c>
      <c r="C6" s="449"/>
      <c r="D6" s="962">
        <f>vkm_2011_GW_PW*SUMIFS(TableVerdeelsleutelVkm[CNG],TableVerdeelsleutelVkm[Voertuigtype],"Lichte voertuigen")*SUMIFS(TableECFTransport[EnergieConsumptieFactor (PJ per km)],TableECFTransport[Index],CONCATENATE($A6,"_CNG_CNG"))</f>
        <v>1.8028839872319955E-4</v>
      </c>
      <c r="E6" s="962">
        <f>vkm_2011_GW_PW*SUMIFS(TableVerdeelsleutelVkm[LPG],TableVerdeelsleutelVkm[Voertuigtype],"Lichte voertuigen")*SUMIFS(TableECFTransport[EnergieConsumptieFactor (PJ per km)],TableECFTransport[Index],CONCATENATE($A6,"_LPG_LPG"))</f>
        <v>2.4629984980809711E-4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6.3681850599773077E-2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2.0502144278146724E-2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4.3290827416038397E-3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3.5533738542301976E-2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1.0828067229870256E-5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2.0764736906116743E-3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2.0353658925352625E-5</v>
      </c>
      <c r="C8" s="449"/>
      <c r="D8" s="451">
        <f>vkm_2011_NGW_PW*SUMIFS(TableVerdeelsleutelVkm[CNG],TableVerdeelsleutelVkm[Voertuigtype],"Lichte voertuigen")*SUMIFS(TableECFTransport[EnergieConsumptieFactor (PJ per km)],TableECFTransport[Index],CONCATENATE($A8,"_CNG_CNG"))</f>
        <v>1.0854633011888332E-4</v>
      </c>
      <c r="E8" s="451">
        <f>vkm_2011_NGW_PW*SUMIFS(TableVerdeelsleutelVkm[LPG],TableVerdeelsleutelVkm[Voertuigtype],"Lichte voertuigen")*SUMIFS(TableECFTransport[EnergieConsumptieFactor (PJ per km)],TableECFTransport[Index],CONCATENATE($A8,"_LPG_LPG"))</f>
        <v>1.3733325483941534E-4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3.3089777457518128E-2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1.1995408426905899E-2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2.2892636502800726E-3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2.4185330925229231E-2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6.938131503426178E-6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1.4132976209671724E-3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1.9779908926833588E-4</v>
      </c>
      <c r="C10" s="449"/>
      <c r="D10" s="451">
        <f>vkm_2011_SW_PW*SUMIFS(TableVerdeelsleutelVkm[CNG],TableVerdeelsleutelVkm[Voertuigtype],"Lichte voertuigen")*SUMIFS(TableECFTransport[EnergieConsumptieFactor (PJ per km)],TableECFTransport[Index],CONCATENATE($A10,"_CNG_CNG"))</f>
        <v>6.2060023107412209E-4</v>
      </c>
      <c r="E10" s="451">
        <f>vkm_2011_SW_PW*SUMIFS(TableVerdeelsleutelVkm[LPG],TableVerdeelsleutelVkm[Voertuigtype],"Lichte voertuigen")*SUMIFS(TableECFTransport[EnergieConsumptieFactor (PJ per km)],TableECFTransport[Index],CONCATENATE($A10,"_LPG_LPG"))</f>
        <v>1.0558671870687603E-3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0.24337977889508747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7.3516048550103949E-2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1.6401341149103306E-2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0.29474751073194477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9.6992848539780781E-5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1.7224278716633939E-2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77.29455018030221</v>
      </c>
      <c r="C14" s="21"/>
      <c r="D14" s="21">
        <f t="shared" ref="D14:M14" si="0">((D5)*10^9/3600)+D12</f>
        <v>252.62082219894583</v>
      </c>
      <c r="E14" s="21">
        <f t="shared" si="0"/>
        <v>399.86119214340908</v>
      </c>
      <c r="F14" s="21"/>
      <c r="G14" s="21">
        <f t="shared" si="0"/>
        <v>192949.4408755152</v>
      </c>
      <c r="H14" s="21">
        <f t="shared" si="0"/>
        <v>29480.100084008234</v>
      </c>
      <c r="I14" s="21"/>
      <c r="J14" s="21"/>
      <c r="K14" s="21"/>
      <c r="L14" s="21"/>
      <c r="M14" s="21">
        <f t="shared" si="0"/>
        <v>12148.260435888889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0.2150686206564961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16.623632291541917</v>
      </c>
      <c r="C18" s="23"/>
      <c r="D18" s="23">
        <f t="shared" ref="D18:M18" si="1">D14*D16</f>
        <v>51.029406084187059</v>
      </c>
      <c r="E18" s="23">
        <f t="shared" si="1"/>
        <v>90.768490616553862</v>
      </c>
      <c r="F18" s="23"/>
      <c r="G18" s="23">
        <f t="shared" si="1"/>
        <v>51517.500713762558</v>
      </c>
      <c r="H18" s="23">
        <f t="shared" si="1"/>
        <v>7340.5449209180506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4.2571600964588455E-3</v>
      </c>
      <c r="C50" s="321">
        <f t="shared" ref="C50:P50" si="2">SUM(C51:C52)</f>
        <v>0</v>
      </c>
      <c r="D50" s="321">
        <f t="shared" si="2"/>
        <v>0</v>
      </c>
      <c r="E50" s="321">
        <f t="shared" si="2"/>
        <v>0</v>
      </c>
      <c r="F50" s="321">
        <f t="shared" si="2"/>
        <v>0</v>
      </c>
      <c r="G50" s="321">
        <f t="shared" si="2"/>
        <v>3.7316861077929748E-3</v>
      </c>
      <c r="H50" s="321">
        <f t="shared" si="2"/>
        <v>0</v>
      </c>
      <c r="I50" s="321">
        <f t="shared" si="2"/>
        <v>0</v>
      </c>
      <c r="J50" s="321">
        <f t="shared" si="2"/>
        <v>0</v>
      </c>
      <c r="K50" s="321">
        <f t="shared" si="2"/>
        <v>0</v>
      </c>
      <c r="L50" s="321">
        <f t="shared" si="2"/>
        <v>0</v>
      </c>
      <c r="M50" s="321">
        <f t="shared" si="2"/>
        <v>2.1194329710927487E-4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3.7316861077929748E-3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2.1194329710927487E-4</v>
      </c>
      <c r="N51" s="323"/>
      <c r="O51" s="323"/>
      <c r="P51" s="326"/>
    </row>
    <row r="52" spans="1:18">
      <c r="A52" s="4" t="s">
        <v>330</v>
      </c>
      <c r="B52" s="963">
        <f>vkm_2011_tram*SUMIFS(TableECFTransport[EnergieConsumptieFactor (PJ per km)],TableECFTransport[Index],"Tram_gemiddeld_Electric_Electric")</f>
        <v>4.2571600964588455E-3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1182.5444712385683</v>
      </c>
      <c r="C54" s="21">
        <f t="shared" ref="C54:P54" si="3">(C50)*10^9/3600</f>
        <v>0</v>
      </c>
      <c r="D54" s="21">
        <f t="shared" si="3"/>
        <v>0</v>
      </c>
      <c r="E54" s="21">
        <f t="shared" si="3"/>
        <v>0</v>
      </c>
      <c r="F54" s="21">
        <f t="shared" si="3"/>
        <v>0</v>
      </c>
      <c r="G54" s="21">
        <f t="shared" si="3"/>
        <v>1036.5794743869374</v>
      </c>
      <c r="H54" s="21">
        <f t="shared" si="3"/>
        <v>0</v>
      </c>
      <c r="I54" s="21">
        <f t="shared" si="3"/>
        <v>0</v>
      </c>
      <c r="J54" s="21">
        <f t="shared" si="3"/>
        <v>0</v>
      </c>
      <c r="K54" s="21">
        <f t="shared" si="3"/>
        <v>0</v>
      </c>
      <c r="L54" s="21">
        <f t="shared" si="3"/>
        <v>0</v>
      </c>
      <c r="M54" s="21">
        <f t="shared" si="3"/>
        <v>58.873138085909687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0.2150686206564961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254.3282082942444</v>
      </c>
      <c r="C58" s="23">
        <f t="shared" ref="C58:P58" ca="1" si="4">C54*C56</f>
        <v>0</v>
      </c>
      <c r="D58" s="23">
        <f t="shared" si="4"/>
        <v>0</v>
      </c>
      <c r="E58" s="23">
        <f t="shared" si="4"/>
        <v>0</v>
      </c>
      <c r="F58" s="23">
        <f t="shared" si="4"/>
        <v>0</v>
      </c>
      <c r="G58" s="23">
        <f t="shared" si="4"/>
        <v>276.76671966131227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4991.3150399484412</v>
      </c>
      <c r="C6" s="1204"/>
      <c r="D6" s="1189"/>
      <c r="E6" s="1189"/>
      <c r="F6" s="1207"/>
      <c r="G6" s="1210"/>
      <c r="H6" s="1201"/>
      <c r="I6" s="1189"/>
      <c r="J6" s="1189"/>
      <c r="K6" s="1189"/>
      <c r="L6" s="1193"/>
      <c r="M6" s="575"/>
      <c r="N6" s="1167"/>
      <c r="O6" s="1168"/>
      <c r="Q6" s="573"/>
      <c r="R6" s="1155"/>
      <c r="S6" s="1155"/>
    </row>
    <row r="7" spans="1:19" s="563" customFormat="1">
      <c r="A7" s="576" t="s">
        <v>252</v>
      </c>
      <c r="B7" s="577">
        <f>N57</f>
        <v>30924</v>
      </c>
      <c r="C7" s="578">
        <f>B100</f>
        <v>36381.176470588238</v>
      </c>
      <c r="D7" s="579"/>
      <c r="E7" s="579">
        <f>E100</f>
        <v>0</v>
      </c>
      <c r="F7" s="580"/>
      <c r="G7" s="581"/>
      <c r="H7" s="579">
        <f>I100</f>
        <v>0</v>
      </c>
      <c r="I7" s="579">
        <f>G100+F100</f>
        <v>0</v>
      </c>
      <c r="J7" s="579">
        <f>H100+D100+C100</f>
        <v>0</v>
      </c>
      <c r="K7" s="579"/>
      <c r="L7" s="582"/>
      <c r="M7" s="583">
        <f>C7*$C$11+D7*$D$11+E7*$E$11+F7*$F$11+G7*$G$11+H7*$H$11+I7*$I$11+J7*$J$11</f>
        <v>7348.9976470588244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35915.315039948444</v>
      </c>
      <c r="C9" s="594">
        <f t="shared" ref="C9:L9" si="0">SUM(C7:C8)</f>
        <v>36381.176470588238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7348.9976470588244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44177.142857142855</v>
      </c>
      <c r="C16" s="610">
        <f>B101</f>
        <v>51973.10924369748</v>
      </c>
      <c r="D16" s="611"/>
      <c r="E16" s="611">
        <f>E101</f>
        <v>0</v>
      </c>
      <c r="F16" s="612"/>
      <c r="G16" s="613"/>
      <c r="H16" s="610">
        <f>I101</f>
        <v>0</v>
      </c>
      <c r="I16" s="611">
        <f>G101+F101</f>
        <v>0</v>
      </c>
      <c r="J16" s="611">
        <f>H101+D101+C101</f>
        <v>0</v>
      </c>
      <c r="K16" s="611"/>
      <c r="L16" s="614"/>
      <c r="M16" s="615">
        <f>C16*$C$21+E16*$E$21+H16*$H$21+I16*$I$21+J16*$J$21+D16*$D$21+F16*$F$21+G16*$G$21+K16*$K$21+L16*$L$21</f>
        <v>10498.568067226892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44177.142857142855</v>
      </c>
      <c r="C19" s="593">
        <f>SUM(C16:C18)</f>
        <v>51973.10924369748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10498.568067226892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11056</v>
      </c>
      <c r="C27" s="851">
        <v>2070</v>
      </c>
      <c r="D27" s="672" t="s">
        <v>809</v>
      </c>
      <c r="E27" s="671" t="s">
        <v>810</v>
      </c>
      <c r="F27" s="671" t="s">
        <v>811</v>
      </c>
      <c r="G27" s="671" t="s">
        <v>812</v>
      </c>
      <c r="H27" s="671" t="s">
        <v>813</v>
      </c>
      <c r="I27" s="671" t="s">
        <v>814</v>
      </c>
      <c r="J27" s="850">
        <v>40946</v>
      </c>
      <c r="K27" s="850">
        <v>39043</v>
      </c>
      <c r="L27" s="671" t="s">
        <v>815</v>
      </c>
      <c r="M27" s="671">
        <v>4800</v>
      </c>
      <c r="N27" s="671">
        <v>21600</v>
      </c>
      <c r="O27" s="671">
        <v>30857.142857142859</v>
      </c>
      <c r="P27" s="671">
        <v>61714.285714285717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11056</v>
      </c>
      <c r="C28" s="851">
        <v>2070</v>
      </c>
      <c r="D28" s="672" t="s">
        <v>816</v>
      </c>
      <c r="E28" s="671" t="s">
        <v>817</v>
      </c>
      <c r="F28" s="671" t="s">
        <v>818</v>
      </c>
      <c r="G28" s="671" t="s">
        <v>812</v>
      </c>
      <c r="H28" s="671" t="s">
        <v>813</v>
      </c>
      <c r="I28" s="671" t="s">
        <v>817</v>
      </c>
      <c r="J28" s="850">
        <v>40267</v>
      </c>
      <c r="K28" s="850">
        <v>40269</v>
      </c>
      <c r="L28" s="671" t="s">
        <v>815</v>
      </c>
      <c r="M28" s="671">
        <v>2067</v>
      </c>
      <c r="N28" s="671">
        <v>9301.5</v>
      </c>
      <c r="O28" s="671">
        <v>13287.857142857143</v>
      </c>
      <c r="P28" s="671">
        <v>26575.714285714286</v>
      </c>
      <c r="Q28" s="671">
        <v>0</v>
      </c>
      <c r="R28" s="671">
        <v>0</v>
      </c>
      <c r="S28" s="671">
        <v>0</v>
      </c>
      <c r="T28" s="671">
        <v>0</v>
      </c>
      <c r="U28" s="671">
        <v>0</v>
      </c>
      <c r="V28" s="671">
        <v>0</v>
      </c>
      <c r="W28" s="671">
        <v>0</v>
      </c>
      <c r="X28" s="671">
        <v>10</v>
      </c>
      <c r="Y28" s="671" t="s">
        <v>112</v>
      </c>
      <c r="Z28" s="673" t="s">
        <v>112</v>
      </c>
    </row>
    <row r="29" spans="1:26" s="625" customFormat="1" ht="63.75">
      <c r="A29" s="624"/>
      <c r="B29" s="851">
        <v>11056</v>
      </c>
      <c r="C29" s="851">
        <v>2070</v>
      </c>
      <c r="D29" s="672" t="s">
        <v>819</v>
      </c>
      <c r="E29" s="671" t="s">
        <v>820</v>
      </c>
      <c r="F29" s="671" t="s">
        <v>821</v>
      </c>
      <c r="G29" s="671" t="s">
        <v>812</v>
      </c>
      <c r="H29" s="671" t="s">
        <v>813</v>
      </c>
      <c r="I29" s="671" t="s">
        <v>820</v>
      </c>
      <c r="J29" s="850">
        <v>40735</v>
      </c>
      <c r="K29" s="850">
        <v>40848</v>
      </c>
      <c r="L29" s="671" t="s">
        <v>815</v>
      </c>
      <c r="M29" s="671">
        <v>5</v>
      </c>
      <c r="N29" s="671">
        <v>22.5</v>
      </c>
      <c r="O29" s="671">
        <v>32.142857142857146</v>
      </c>
      <c r="P29" s="671">
        <v>64.285714285714292</v>
      </c>
      <c r="Q29" s="671">
        <v>0</v>
      </c>
      <c r="R29" s="671">
        <v>0</v>
      </c>
      <c r="S29" s="671">
        <v>0</v>
      </c>
      <c r="T29" s="671">
        <v>0</v>
      </c>
      <c r="U29" s="671">
        <v>0</v>
      </c>
      <c r="V29" s="671">
        <v>0</v>
      </c>
      <c r="W29" s="671">
        <v>0</v>
      </c>
      <c r="X29" s="671">
        <v>1600</v>
      </c>
      <c r="Y29" s="671" t="s">
        <v>50</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6872</v>
      </c>
      <c r="N57" s="629">
        <f>SUM(N27:N56)</f>
        <v>30924</v>
      </c>
      <c r="O57" s="629">
        <f t="shared" ref="O57:W57" si="2">SUM(O27:O56)</f>
        <v>44177.142857142855</v>
      </c>
      <c r="P57" s="629">
        <f t="shared" si="2"/>
        <v>88354.28571428571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v>
      </c>
      <c r="N59" s="629">
        <f ca="1">SUMIF($Z$27:AB56,"tertiair",N27:N56)</f>
        <v>22.5</v>
      </c>
      <c r="O59" s="629">
        <f ca="1">SUMIF($Z$27:AC56,"tertiair",O27:O56)</f>
        <v>32.142857142857146</v>
      </c>
      <c r="P59" s="629">
        <f ca="1">SUMIF($Z$27:AD56,"tertiair",P27:P56)</f>
        <v>64.285714285714292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6867</v>
      </c>
      <c r="N60" s="634">
        <f t="shared" ref="N60:W60" si="4">SUMIF($Z$27:$Z$56,"landbouw",N27:N56)</f>
        <v>30901.5</v>
      </c>
      <c r="O60" s="634">
        <f t="shared" si="4"/>
        <v>44145</v>
      </c>
      <c r="P60" s="634">
        <f t="shared" si="4"/>
        <v>88290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36381.176470588238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51973.10924369748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26585.069752688138</v>
      </c>
      <c r="D10" s="718">
        <f ca="1">tertiair!C16</f>
        <v>32.142857142857146</v>
      </c>
      <c r="E10" s="718">
        <f ca="1">tertiair!D16</f>
        <v>26382.948039722589</v>
      </c>
      <c r="F10" s="718">
        <f>tertiair!E16</f>
        <v>408.75786424248781</v>
      </c>
      <c r="G10" s="718">
        <f ca="1">tertiair!F16</f>
        <v>4571.5959701971296</v>
      </c>
      <c r="H10" s="718">
        <f>tertiair!G16</f>
        <v>0</v>
      </c>
      <c r="I10" s="718">
        <f>tertiair!H16</f>
        <v>0</v>
      </c>
      <c r="J10" s="718">
        <f>tertiair!I16</f>
        <v>0</v>
      </c>
      <c r="K10" s="718">
        <f>tertiair!J16</f>
        <v>7.3664813176514257E-2</v>
      </c>
      <c r="L10" s="718">
        <f>tertiair!K16</f>
        <v>0</v>
      </c>
      <c r="M10" s="718">
        <f ca="1">tertiair!L16</f>
        <v>0</v>
      </c>
      <c r="N10" s="718">
        <f>tertiair!M16</f>
        <v>0</v>
      </c>
      <c r="O10" s="718">
        <f ca="1">tertiair!N16</f>
        <v>2919.963190467699</v>
      </c>
      <c r="P10" s="718">
        <f>tertiair!O16</f>
        <v>1.5633333333333335</v>
      </c>
      <c r="Q10" s="719">
        <f>tertiair!P16</f>
        <v>38.133333333333333</v>
      </c>
      <c r="R10" s="721">
        <f ca="1">SUM(C10:Q10)</f>
        <v>60940.248005940739</v>
      </c>
      <c r="S10" s="67"/>
    </row>
    <row r="11" spans="1:19" s="474" customFormat="1">
      <c r="A11" s="870" t="s">
        <v>225</v>
      </c>
      <c r="B11" s="875"/>
      <c r="C11" s="718">
        <f>huishoudens!B8</f>
        <v>31224.847377686878</v>
      </c>
      <c r="D11" s="718">
        <f>huishoudens!C8</f>
        <v>0</v>
      </c>
      <c r="E11" s="718">
        <f>huishoudens!D8</f>
        <v>89647.678375436517</v>
      </c>
      <c r="F11" s="718">
        <f>huishoudens!E8</f>
        <v>382.84690970450453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4917.7963658186827</v>
      </c>
      <c r="P11" s="718">
        <f>huishoudens!O8</f>
        <v>164.15</v>
      </c>
      <c r="Q11" s="719">
        <f>huishoudens!P8</f>
        <v>266.93333333333334</v>
      </c>
      <c r="R11" s="721">
        <f>SUM(C11:Q11)</f>
        <v>126604.2523619799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38813.90357013738</v>
      </c>
      <c r="D13" s="718">
        <f>industrie!C18</f>
        <v>0</v>
      </c>
      <c r="E13" s="718">
        <f>industrie!D18</f>
        <v>11761.533657068001</v>
      </c>
      <c r="F13" s="718">
        <f>industrie!E18</f>
        <v>2489.5908432702777</v>
      </c>
      <c r="G13" s="718">
        <f>industrie!F18</f>
        <v>8603.2347148064291</v>
      </c>
      <c r="H13" s="718">
        <f>industrie!G18</f>
        <v>0</v>
      </c>
      <c r="I13" s="718">
        <f>industrie!H18</f>
        <v>0</v>
      </c>
      <c r="J13" s="718">
        <f>industrie!I18</f>
        <v>0</v>
      </c>
      <c r="K13" s="718">
        <f>industrie!J18</f>
        <v>123.02269578316132</v>
      </c>
      <c r="L13" s="718">
        <f>industrie!K18</f>
        <v>0</v>
      </c>
      <c r="M13" s="718">
        <f>industrie!L18</f>
        <v>0</v>
      </c>
      <c r="N13" s="718">
        <f>industrie!M18</f>
        <v>0</v>
      </c>
      <c r="O13" s="718">
        <f>industrie!N18</f>
        <v>8406.8818436348793</v>
      </c>
      <c r="P13" s="718">
        <f>industrie!O18</f>
        <v>0</v>
      </c>
      <c r="Q13" s="719">
        <f>industrie!P18</f>
        <v>0</v>
      </c>
      <c r="R13" s="721">
        <f>SUM(C13:Q13)</f>
        <v>70198.167324700131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96623.820700512399</v>
      </c>
      <c r="D15" s="723">
        <f t="shared" ref="D15:Q15" ca="1" si="0">SUM(D9:D14)</f>
        <v>32.142857142857146</v>
      </c>
      <c r="E15" s="723">
        <f t="shared" ca="1" si="0"/>
        <v>127792.1600722271</v>
      </c>
      <c r="F15" s="723">
        <f t="shared" si="0"/>
        <v>3281.19561721727</v>
      </c>
      <c r="G15" s="723">
        <f t="shared" ca="1" si="0"/>
        <v>13174.830685003559</v>
      </c>
      <c r="H15" s="723">
        <f t="shared" si="0"/>
        <v>0</v>
      </c>
      <c r="I15" s="723">
        <f t="shared" si="0"/>
        <v>0</v>
      </c>
      <c r="J15" s="723">
        <f t="shared" si="0"/>
        <v>0</v>
      </c>
      <c r="K15" s="723">
        <f t="shared" si="0"/>
        <v>123.09636059633785</v>
      </c>
      <c r="L15" s="723">
        <f t="shared" si="0"/>
        <v>0</v>
      </c>
      <c r="M15" s="723">
        <f t="shared" ca="1" si="0"/>
        <v>0</v>
      </c>
      <c r="N15" s="723">
        <f t="shared" si="0"/>
        <v>0</v>
      </c>
      <c r="O15" s="723">
        <f t="shared" ca="1" si="0"/>
        <v>16244.64139992126</v>
      </c>
      <c r="P15" s="723">
        <f t="shared" si="0"/>
        <v>165.71333333333334</v>
      </c>
      <c r="Q15" s="724">
        <f t="shared" si="0"/>
        <v>305.06666666666666</v>
      </c>
      <c r="R15" s="725">
        <f ca="1">SUM(R9:R14)</f>
        <v>257742.66769262077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1182.5444712385683</v>
      </c>
      <c r="D18" s="718">
        <f>transport!C54</f>
        <v>0</v>
      </c>
      <c r="E18" s="718">
        <f>transport!D54</f>
        <v>0</v>
      </c>
      <c r="F18" s="718">
        <f>transport!E54</f>
        <v>0</v>
      </c>
      <c r="G18" s="718">
        <f>transport!F54</f>
        <v>0</v>
      </c>
      <c r="H18" s="718">
        <f>transport!G54</f>
        <v>1036.5794743869374</v>
      </c>
      <c r="I18" s="718">
        <f>transport!H54</f>
        <v>0</v>
      </c>
      <c r="J18" s="718">
        <f>transport!I54</f>
        <v>0</v>
      </c>
      <c r="K18" s="718">
        <f>transport!J54</f>
        <v>0</v>
      </c>
      <c r="L18" s="718">
        <f>transport!K54</f>
        <v>0</v>
      </c>
      <c r="M18" s="718">
        <f>transport!L54</f>
        <v>0</v>
      </c>
      <c r="N18" s="718">
        <f>transport!M54</f>
        <v>58.873138085909687</v>
      </c>
      <c r="O18" s="718">
        <f>transport!N54</f>
        <v>0</v>
      </c>
      <c r="P18" s="718">
        <f>transport!O54</f>
        <v>0</v>
      </c>
      <c r="Q18" s="719">
        <f>transport!P54</f>
        <v>0</v>
      </c>
      <c r="R18" s="721">
        <f>SUM(C18:Q18)</f>
        <v>2277.9970837114156</v>
      </c>
      <c r="S18" s="67"/>
    </row>
    <row r="19" spans="1:19" s="474" customFormat="1" ht="15" thickBot="1">
      <c r="A19" s="870" t="s">
        <v>307</v>
      </c>
      <c r="B19" s="875"/>
      <c r="C19" s="727">
        <f>transport!B14</f>
        <v>77.29455018030221</v>
      </c>
      <c r="D19" s="727">
        <f>transport!C14</f>
        <v>0</v>
      </c>
      <c r="E19" s="727">
        <f>transport!D14</f>
        <v>252.62082219894583</v>
      </c>
      <c r="F19" s="727">
        <f>transport!E14</f>
        <v>399.86119214340908</v>
      </c>
      <c r="G19" s="727">
        <f>transport!F14</f>
        <v>0</v>
      </c>
      <c r="H19" s="727">
        <f>transport!G14</f>
        <v>192949.4408755152</v>
      </c>
      <c r="I19" s="727">
        <f>transport!H14</f>
        <v>29480.100084008234</v>
      </c>
      <c r="J19" s="727">
        <f>transport!I14</f>
        <v>0</v>
      </c>
      <c r="K19" s="727">
        <f>transport!J14</f>
        <v>0</v>
      </c>
      <c r="L19" s="727">
        <f>transport!K14</f>
        <v>0</v>
      </c>
      <c r="M19" s="727">
        <f>transport!L14</f>
        <v>0</v>
      </c>
      <c r="N19" s="727">
        <f>transport!M14</f>
        <v>12148.260435888889</v>
      </c>
      <c r="O19" s="727">
        <f>transport!N14</f>
        <v>0</v>
      </c>
      <c r="P19" s="727">
        <f>transport!O14</f>
        <v>0</v>
      </c>
      <c r="Q19" s="728">
        <f>transport!P14</f>
        <v>0</v>
      </c>
      <c r="R19" s="729">
        <f>SUM(C19:Q19)</f>
        <v>235307.57795993498</v>
      </c>
      <c r="S19" s="67"/>
    </row>
    <row r="20" spans="1:19" s="474" customFormat="1" ht="15.75" thickBot="1">
      <c r="A20" s="730" t="s">
        <v>230</v>
      </c>
      <c r="B20" s="878"/>
      <c r="C20" s="873">
        <f>SUM(C17:C19)</f>
        <v>1259.8390214188705</v>
      </c>
      <c r="D20" s="731">
        <f t="shared" ref="D20:R20" si="1">SUM(D17:D19)</f>
        <v>0</v>
      </c>
      <c r="E20" s="731">
        <f t="shared" si="1"/>
        <v>252.62082219894583</v>
      </c>
      <c r="F20" s="731">
        <f t="shared" si="1"/>
        <v>399.86119214340908</v>
      </c>
      <c r="G20" s="731">
        <f t="shared" si="1"/>
        <v>0</v>
      </c>
      <c r="H20" s="731">
        <f t="shared" si="1"/>
        <v>193986.02034990213</v>
      </c>
      <c r="I20" s="731">
        <f t="shared" si="1"/>
        <v>29480.100084008234</v>
      </c>
      <c r="J20" s="731">
        <f t="shared" si="1"/>
        <v>0</v>
      </c>
      <c r="K20" s="731">
        <f t="shared" si="1"/>
        <v>0</v>
      </c>
      <c r="L20" s="731">
        <f t="shared" si="1"/>
        <v>0</v>
      </c>
      <c r="M20" s="731">
        <f t="shared" si="1"/>
        <v>0</v>
      </c>
      <c r="N20" s="731">
        <f t="shared" si="1"/>
        <v>12207.133573974799</v>
      </c>
      <c r="O20" s="731">
        <f t="shared" si="1"/>
        <v>0</v>
      </c>
      <c r="P20" s="731">
        <f t="shared" si="1"/>
        <v>0</v>
      </c>
      <c r="Q20" s="732">
        <f t="shared" si="1"/>
        <v>0</v>
      </c>
      <c r="R20" s="733">
        <f t="shared" si="1"/>
        <v>237585.57504364639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1298.4938211699462</v>
      </c>
      <c r="D22" s="727">
        <f>+landbouw!C8</f>
        <v>44145</v>
      </c>
      <c r="E22" s="727">
        <f>+landbouw!D8</f>
        <v>0</v>
      </c>
      <c r="F22" s="727">
        <f>+landbouw!E8</f>
        <v>38.166699462082917</v>
      </c>
      <c r="G22" s="727">
        <f>+landbouw!F8</f>
        <v>5409.4550920707979</v>
      </c>
      <c r="H22" s="727">
        <f>+landbouw!G8</f>
        <v>0</v>
      </c>
      <c r="I22" s="727">
        <f>+landbouw!H8</f>
        <v>0</v>
      </c>
      <c r="J22" s="727">
        <f>+landbouw!I8</f>
        <v>0</v>
      </c>
      <c r="K22" s="727">
        <f>+landbouw!J8</f>
        <v>188.12386921351367</v>
      </c>
      <c r="L22" s="727">
        <f>+landbouw!K8</f>
        <v>0</v>
      </c>
      <c r="M22" s="727">
        <f>+landbouw!L8</f>
        <v>0</v>
      </c>
      <c r="N22" s="727">
        <f>+landbouw!M8</f>
        <v>0</v>
      </c>
      <c r="O22" s="727">
        <f>+landbouw!N8</f>
        <v>0</v>
      </c>
      <c r="P22" s="727">
        <f>+landbouw!O8</f>
        <v>0</v>
      </c>
      <c r="Q22" s="728">
        <f>+landbouw!P8</f>
        <v>0</v>
      </c>
      <c r="R22" s="729">
        <f>SUM(C22:Q22)</f>
        <v>51079.239481916346</v>
      </c>
      <c r="S22" s="67"/>
    </row>
    <row r="23" spans="1:19" s="474" customFormat="1" ht="17.25" thickTop="1" thickBot="1">
      <c r="A23" s="734" t="s">
        <v>116</v>
      </c>
      <c r="B23" s="864"/>
      <c r="C23" s="735">
        <f ca="1">C20+C15+C22</f>
        <v>99182.153543101216</v>
      </c>
      <c r="D23" s="735">
        <f t="shared" ref="D23:Q23" ca="1" si="2">D20+D15+D22</f>
        <v>44177.142857142855</v>
      </c>
      <c r="E23" s="735">
        <f t="shared" ca="1" si="2"/>
        <v>128044.78089442605</v>
      </c>
      <c r="F23" s="735">
        <f t="shared" si="2"/>
        <v>3719.2235088227617</v>
      </c>
      <c r="G23" s="735">
        <f t="shared" ca="1" si="2"/>
        <v>18584.285777074358</v>
      </c>
      <c r="H23" s="735">
        <f t="shared" si="2"/>
        <v>193986.02034990213</v>
      </c>
      <c r="I23" s="735">
        <f t="shared" si="2"/>
        <v>29480.100084008234</v>
      </c>
      <c r="J23" s="735">
        <f t="shared" si="2"/>
        <v>0</v>
      </c>
      <c r="K23" s="735">
        <f t="shared" si="2"/>
        <v>311.2202298098515</v>
      </c>
      <c r="L23" s="735">
        <f t="shared" si="2"/>
        <v>0</v>
      </c>
      <c r="M23" s="735">
        <f t="shared" ca="1" si="2"/>
        <v>0</v>
      </c>
      <c r="N23" s="735">
        <f t="shared" si="2"/>
        <v>12207.133573974799</v>
      </c>
      <c r="O23" s="735">
        <f t="shared" ca="1" si="2"/>
        <v>16244.64139992126</v>
      </c>
      <c r="P23" s="735">
        <f t="shared" si="2"/>
        <v>165.71333333333334</v>
      </c>
      <c r="Q23" s="736">
        <f t="shared" si="2"/>
        <v>305.06666666666666</v>
      </c>
      <c r="R23" s="737">
        <f ca="1">R20+R15+R22</f>
        <v>546407.48221818346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5717.6142817673735</v>
      </c>
      <c r="D36" s="718">
        <f ca="1">tertiair!C20</f>
        <v>7.6386554621848752</v>
      </c>
      <c r="E36" s="718">
        <f ca="1">tertiair!D20</f>
        <v>5329.3555040239635</v>
      </c>
      <c r="F36" s="718">
        <f>tertiair!E20</f>
        <v>92.788035183044741</v>
      </c>
      <c r="G36" s="718">
        <f ca="1">tertiair!F20</f>
        <v>1220.6161240426336</v>
      </c>
      <c r="H36" s="718">
        <f>tertiair!G20</f>
        <v>0</v>
      </c>
      <c r="I36" s="718">
        <f>tertiair!H20</f>
        <v>0</v>
      </c>
      <c r="J36" s="718">
        <f>tertiair!I20</f>
        <v>0</v>
      </c>
      <c r="K36" s="718">
        <f>tertiair!J20</f>
        <v>2.6077343864486045E-2</v>
      </c>
      <c r="L36" s="718">
        <f>tertiair!K20</f>
        <v>0</v>
      </c>
      <c r="M36" s="718">
        <f ca="1">tertiair!L20</f>
        <v>0</v>
      </c>
      <c r="N36" s="718">
        <f>tertiair!M20</f>
        <v>0</v>
      </c>
      <c r="O36" s="718">
        <f ca="1">tertiair!N20</f>
        <v>0</v>
      </c>
      <c r="P36" s="718">
        <f>tertiair!O20</f>
        <v>0</v>
      </c>
      <c r="Q36" s="828">
        <f>tertiair!P20</f>
        <v>0</v>
      </c>
      <c r="R36" s="917">
        <f ca="1">SUM(C36:Q36)</f>
        <v>12368.038677823064</v>
      </c>
    </row>
    <row r="37" spans="1:18">
      <c r="A37" s="885" t="s">
        <v>225</v>
      </c>
      <c r="B37" s="892"/>
      <c r="C37" s="718">
        <f ca="1">huishoudens!B12</f>
        <v>6715.484855728726</v>
      </c>
      <c r="D37" s="718">
        <f ca="1">huishoudens!C12</f>
        <v>0</v>
      </c>
      <c r="E37" s="718">
        <f>huishoudens!D12</f>
        <v>18108.831031838177</v>
      </c>
      <c r="F37" s="718">
        <f>huishoudens!E12</f>
        <v>86.906248502922537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24911.222136069824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8347.6527031236965</v>
      </c>
      <c r="D39" s="718">
        <f ca="1">industrie!C22</f>
        <v>0</v>
      </c>
      <c r="E39" s="718">
        <f>industrie!D22</f>
        <v>2375.8297987277365</v>
      </c>
      <c r="F39" s="718">
        <f>industrie!E22</f>
        <v>565.13712142235306</v>
      </c>
      <c r="G39" s="718">
        <f>industrie!F22</f>
        <v>2297.0636688533168</v>
      </c>
      <c r="H39" s="718">
        <f>industrie!G22</f>
        <v>0</v>
      </c>
      <c r="I39" s="718">
        <f>industrie!H22</f>
        <v>0</v>
      </c>
      <c r="J39" s="718">
        <f>industrie!I22</f>
        <v>0</v>
      </c>
      <c r="K39" s="718">
        <f>industrie!J22</f>
        <v>43.550034307239109</v>
      </c>
      <c r="L39" s="718">
        <f>industrie!K22</f>
        <v>0</v>
      </c>
      <c r="M39" s="718">
        <f>industrie!L22</f>
        <v>0</v>
      </c>
      <c r="N39" s="718">
        <f>industrie!M22</f>
        <v>0</v>
      </c>
      <c r="O39" s="718">
        <f>industrie!N22</f>
        <v>0</v>
      </c>
      <c r="P39" s="718">
        <f>industrie!O22</f>
        <v>0</v>
      </c>
      <c r="Q39" s="828">
        <f>industrie!P22</f>
        <v>0</v>
      </c>
      <c r="R39" s="918">
        <f ca="1">SUM(C39:Q39)</f>
        <v>13629.233326434342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20780.751840619796</v>
      </c>
      <c r="D41" s="763">
        <f t="shared" ref="D41:R41" ca="1" si="4">SUM(D35:D40)</f>
        <v>7.6386554621848752</v>
      </c>
      <c r="E41" s="763">
        <f t="shared" ca="1" si="4"/>
        <v>25814.016334589876</v>
      </c>
      <c r="F41" s="763">
        <f t="shared" si="4"/>
        <v>744.83140510832027</v>
      </c>
      <c r="G41" s="763">
        <f t="shared" ca="1" si="4"/>
        <v>3517.6797928959504</v>
      </c>
      <c r="H41" s="763">
        <f t="shared" si="4"/>
        <v>0</v>
      </c>
      <c r="I41" s="763">
        <f t="shared" si="4"/>
        <v>0</v>
      </c>
      <c r="J41" s="763">
        <f t="shared" si="4"/>
        <v>0</v>
      </c>
      <c r="K41" s="763">
        <f t="shared" si="4"/>
        <v>43.576111651103595</v>
      </c>
      <c r="L41" s="763">
        <f t="shared" si="4"/>
        <v>0</v>
      </c>
      <c r="M41" s="763">
        <f t="shared" ca="1" si="4"/>
        <v>0</v>
      </c>
      <c r="N41" s="763">
        <f t="shared" si="4"/>
        <v>0</v>
      </c>
      <c r="O41" s="763">
        <f t="shared" ca="1" si="4"/>
        <v>0</v>
      </c>
      <c r="P41" s="763">
        <f t="shared" si="4"/>
        <v>0</v>
      </c>
      <c r="Q41" s="764">
        <f t="shared" si="4"/>
        <v>0</v>
      </c>
      <c r="R41" s="765">
        <f t="shared" ca="1" si="4"/>
        <v>50908.494140327231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254.3282082942444</v>
      </c>
      <c r="D44" s="718">
        <f ca="1">transport!C58</f>
        <v>0</v>
      </c>
      <c r="E44" s="718">
        <f>transport!D58</f>
        <v>0</v>
      </c>
      <c r="F44" s="718">
        <f>transport!E58</f>
        <v>0</v>
      </c>
      <c r="G44" s="718">
        <f>transport!F58</f>
        <v>0</v>
      </c>
      <c r="H44" s="718">
        <f>transport!G58</f>
        <v>276.76671966131227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531.09492795555661</v>
      </c>
    </row>
    <row r="45" spans="1:18" ht="15" thickBot="1">
      <c r="A45" s="888" t="s">
        <v>307</v>
      </c>
      <c r="B45" s="898"/>
      <c r="C45" s="727">
        <f ca="1">transport!B18</f>
        <v>16.623632291541917</v>
      </c>
      <c r="D45" s="727">
        <f>transport!C18</f>
        <v>0</v>
      </c>
      <c r="E45" s="727">
        <f>transport!D18</f>
        <v>51.029406084187059</v>
      </c>
      <c r="F45" s="727">
        <f>transport!E18</f>
        <v>90.768490616553862</v>
      </c>
      <c r="G45" s="727">
        <f>transport!F18</f>
        <v>0</v>
      </c>
      <c r="H45" s="727">
        <f>transport!G18</f>
        <v>51517.500713762558</v>
      </c>
      <c r="I45" s="727">
        <f>transport!H18</f>
        <v>7340.5449209180506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59016.467163672889</v>
      </c>
    </row>
    <row r="46" spans="1:18" ht="15.75" thickBot="1">
      <c r="A46" s="886" t="s">
        <v>230</v>
      </c>
      <c r="B46" s="899"/>
      <c r="C46" s="763">
        <f t="shared" ref="C46:R46" ca="1" si="5">SUM(C43:C45)</f>
        <v>270.95184058578633</v>
      </c>
      <c r="D46" s="763">
        <f t="shared" ca="1" si="5"/>
        <v>0</v>
      </c>
      <c r="E46" s="763">
        <f t="shared" si="5"/>
        <v>51.029406084187059</v>
      </c>
      <c r="F46" s="763">
        <f t="shared" si="5"/>
        <v>90.768490616553862</v>
      </c>
      <c r="G46" s="763">
        <f t="shared" si="5"/>
        <v>0</v>
      </c>
      <c r="H46" s="763">
        <f t="shared" si="5"/>
        <v>51794.267433423869</v>
      </c>
      <c r="I46" s="763">
        <f t="shared" si="5"/>
        <v>7340.5449209180506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59547.562091628446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279.26527505000325</v>
      </c>
      <c r="D48" s="718">
        <f ca="1">+landbouw!C12</f>
        <v>10490.929411764706</v>
      </c>
      <c r="E48" s="718">
        <f>+landbouw!D12</f>
        <v>0</v>
      </c>
      <c r="F48" s="718">
        <f>+landbouw!E12</f>
        <v>8.6638407778928226</v>
      </c>
      <c r="G48" s="718">
        <f>+landbouw!F12</f>
        <v>1444.3245095829031</v>
      </c>
      <c r="H48" s="718">
        <f>+landbouw!G12</f>
        <v>0</v>
      </c>
      <c r="I48" s="718">
        <f>+landbouw!H12</f>
        <v>0</v>
      </c>
      <c r="J48" s="718">
        <f>+landbouw!I12</f>
        <v>0</v>
      </c>
      <c r="K48" s="718">
        <f>+landbouw!J12</f>
        <v>66.59584970158383</v>
      </c>
      <c r="L48" s="718">
        <f>+landbouw!K12</f>
        <v>0</v>
      </c>
      <c r="M48" s="718">
        <f>+landbouw!L12</f>
        <v>0</v>
      </c>
      <c r="N48" s="718">
        <f>+landbouw!M12</f>
        <v>0</v>
      </c>
      <c r="O48" s="718">
        <f>+landbouw!N12</f>
        <v>0</v>
      </c>
      <c r="P48" s="718">
        <f>+landbouw!O12</f>
        <v>0</v>
      </c>
      <c r="Q48" s="719">
        <f>+landbouw!P12</f>
        <v>0</v>
      </c>
      <c r="R48" s="761">
        <f ca="1">SUM(C48:Q48)</f>
        <v>12289.778886877089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21330.968956255583</v>
      </c>
      <c r="D53" s="773">
        <f t="shared" ref="D53:Q53" ca="1" si="6">D41+D46+D48</f>
        <v>10498.56806722689</v>
      </c>
      <c r="E53" s="773">
        <f t="shared" ca="1" si="6"/>
        <v>25865.045740674064</v>
      </c>
      <c r="F53" s="773">
        <f t="shared" si="6"/>
        <v>844.26373650276696</v>
      </c>
      <c r="G53" s="773">
        <f t="shared" ca="1" si="6"/>
        <v>4962.0043024788538</v>
      </c>
      <c r="H53" s="773">
        <f t="shared" si="6"/>
        <v>51794.267433423869</v>
      </c>
      <c r="I53" s="773">
        <f t="shared" si="6"/>
        <v>7340.5449209180506</v>
      </c>
      <c r="J53" s="773">
        <f t="shared" si="6"/>
        <v>0</v>
      </c>
      <c r="K53" s="773">
        <f t="shared" si="6"/>
        <v>110.17196135268742</v>
      </c>
      <c r="L53" s="773">
        <f t="shared" si="6"/>
        <v>0</v>
      </c>
      <c r="M53" s="773">
        <f t="shared" ca="1" si="6"/>
        <v>0</v>
      </c>
      <c r="N53" s="773">
        <f t="shared" si="6"/>
        <v>0</v>
      </c>
      <c r="O53" s="773">
        <f t="shared" ca="1" si="6"/>
        <v>0</v>
      </c>
      <c r="P53" s="773">
        <f>P41+P46+P48</f>
        <v>0</v>
      </c>
      <c r="Q53" s="774">
        <f t="shared" si="6"/>
        <v>0</v>
      </c>
      <c r="R53" s="775">
        <f ca="1">R41+R46+R48</f>
        <v>122745.83511883277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0.21506862065649607</v>
      </c>
      <c r="D55" s="836">
        <f t="shared" ca="1" si="7"/>
        <v>0.23764705882352941</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4991.3150399484412</v>
      </c>
      <c r="C66" s="795">
        <f>'lokale energieproductie'!B6</f>
        <v>4991.3150399484412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30924</v>
      </c>
      <c r="C67" s="794">
        <f>B67*IFERROR(SUM(J67:L67)/SUM(D67:M67),0)</f>
        <v>0</v>
      </c>
      <c r="D67" s="826">
        <f>'lokale energieproductie'!C7</f>
        <v>36381.176470588238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7348.9976470588244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35915.315039948444</v>
      </c>
      <c r="C69" s="803">
        <f>SUM(C64:C68)</f>
        <v>4991.3150399484412</v>
      </c>
      <c r="D69" s="804">
        <f t="shared" ref="D69:M69" si="8">SUM(D67:D68)</f>
        <v>36381.176470588238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7348.9976470588244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44177.142857142855</v>
      </c>
      <c r="C78" s="817">
        <f>B78*IFERROR(SUM(I78:L78)/SUM(D78:M78),0)</f>
        <v>0</v>
      </c>
      <c r="D78" s="832">
        <f>'lokale energieproductie'!C16</f>
        <v>51973.10924369748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10498.568067226892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44177.142857142855</v>
      </c>
      <c r="C81" s="803">
        <f>SUM(C78:C80)</f>
        <v>0</v>
      </c>
      <c r="D81" s="803">
        <f t="shared" ref="D81:P81" si="9">SUM(D78:D80)</f>
        <v>51973.10924369748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10498.568067226892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31224.847377686878</v>
      </c>
      <c r="C4" s="478">
        <f>huishoudens!C8</f>
        <v>0</v>
      </c>
      <c r="D4" s="478">
        <f>huishoudens!D8</f>
        <v>89647.678375436517</v>
      </c>
      <c r="E4" s="478">
        <f>huishoudens!E8</f>
        <v>382.84690970450453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4917.7963658186827</v>
      </c>
      <c r="O4" s="478">
        <f>huishoudens!O8</f>
        <v>164.15</v>
      </c>
      <c r="P4" s="479">
        <f>huishoudens!P8</f>
        <v>266.93333333333334</v>
      </c>
      <c r="Q4" s="480">
        <f>SUM(B4:P4)</f>
        <v>126604.2523619799</v>
      </c>
    </row>
    <row r="5" spans="1:17">
      <c r="A5" s="477" t="s">
        <v>156</v>
      </c>
      <c r="B5" s="478">
        <f ca="1">tertiair!B16</f>
        <v>25281.524815442077</v>
      </c>
      <c r="C5" s="478">
        <f ca="1">tertiair!C16</f>
        <v>32.142857142857146</v>
      </c>
      <c r="D5" s="478">
        <f ca="1">tertiair!D16</f>
        <v>26382.948039722589</v>
      </c>
      <c r="E5" s="478">
        <f>tertiair!E16</f>
        <v>408.75786424248781</v>
      </c>
      <c r="F5" s="478">
        <f ca="1">tertiair!F16</f>
        <v>4571.5959701971296</v>
      </c>
      <c r="G5" s="478">
        <f>tertiair!G16</f>
        <v>0</v>
      </c>
      <c r="H5" s="478">
        <f>tertiair!H16</f>
        <v>0</v>
      </c>
      <c r="I5" s="478">
        <f>tertiair!I16</f>
        <v>0</v>
      </c>
      <c r="J5" s="478">
        <f>tertiair!J16</f>
        <v>7.3664813176514257E-2</v>
      </c>
      <c r="K5" s="478">
        <f>tertiair!K16</f>
        <v>0</v>
      </c>
      <c r="L5" s="478">
        <f ca="1">tertiair!L16</f>
        <v>0</v>
      </c>
      <c r="M5" s="478">
        <f>tertiair!M16</f>
        <v>0</v>
      </c>
      <c r="N5" s="478">
        <f ca="1">tertiair!N16</f>
        <v>2919.963190467699</v>
      </c>
      <c r="O5" s="478">
        <f>tertiair!O16</f>
        <v>1.5633333333333335</v>
      </c>
      <c r="P5" s="479">
        <f>tertiair!P16</f>
        <v>38.133333333333333</v>
      </c>
      <c r="Q5" s="477">
        <f t="shared" ref="Q5:Q13" ca="1" si="0">SUM(B5:P5)</f>
        <v>59636.703068694682</v>
      </c>
    </row>
    <row r="6" spans="1:17">
      <c r="A6" s="477" t="s">
        <v>194</v>
      </c>
      <c r="B6" s="478">
        <f>'openbare verlichting'!B8</f>
        <v>1303.54493724606</v>
      </c>
      <c r="C6" s="478"/>
      <c r="D6" s="478"/>
      <c r="E6" s="478"/>
      <c r="F6" s="478"/>
      <c r="G6" s="478"/>
      <c r="H6" s="478"/>
      <c r="I6" s="478"/>
      <c r="J6" s="478"/>
      <c r="K6" s="478"/>
      <c r="L6" s="478"/>
      <c r="M6" s="478"/>
      <c r="N6" s="478"/>
      <c r="O6" s="478"/>
      <c r="P6" s="479"/>
      <c r="Q6" s="477">
        <f t="shared" si="0"/>
        <v>1303.54493724606</v>
      </c>
    </row>
    <row r="7" spans="1:17">
      <c r="A7" s="477" t="s">
        <v>112</v>
      </c>
      <c r="B7" s="478">
        <f>landbouw!B8</f>
        <v>1298.4938211699462</v>
      </c>
      <c r="C7" s="478">
        <f>landbouw!C8</f>
        <v>44145</v>
      </c>
      <c r="D7" s="478">
        <f>landbouw!D8</f>
        <v>0</v>
      </c>
      <c r="E7" s="478">
        <f>landbouw!E8</f>
        <v>38.166699462082917</v>
      </c>
      <c r="F7" s="478">
        <f>landbouw!F8</f>
        <v>5409.4550920707979</v>
      </c>
      <c r="G7" s="478">
        <f>landbouw!G8</f>
        <v>0</v>
      </c>
      <c r="H7" s="478">
        <f>landbouw!H8</f>
        <v>0</v>
      </c>
      <c r="I7" s="478">
        <f>landbouw!I8</f>
        <v>0</v>
      </c>
      <c r="J7" s="478">
        <f>landbouw!J8</f>
        <v>188.12386921351367</v>
      </c>
      <c r="K7" s="478">
        <f>landbouw!K8</f>
        <v>0</v>
      </c>
      <c r="L7" s="478">
        <f>landbouw!L8</f>
        <v>0</v>
      </c>
      <c r="M7" s="478">
        <f>landbouw!M8</f>
        <v>0</v>
      </c>
      <c r="N7" s="478">
        <f>landbouw!N8</f>
        <v>0</v>
      </c>
      <c r="O7" s="478">
        <f>landbouw!O8</f>
        <v>0</v>
      </c>
      <c r="P7" s="479">
        <f>landbouw!P8</f>
        <v>0</v>
      </c>
      <c r="Q7" s="477">
        <f t="shared" si="0"/>
        <v>51079.239481916346</v>
      </c>
    </row>
    <row r="8" spans="1:17">
      <c r="A8" s="477" t="s">
        <v>635</v>
      </c>
      <c r="B8" s="478">
        <f>industrie!B18</f>
        <v>38813.90357013738</v>
      </c>
      <c r="C8" s="478">
        <f>industrie!C18</f>
        <v>0</v>
      </c>
      <c r="D8" s="478">
        <f>industrie!D18</f>
        <v>11761.533657068001</v>
      </c>
      <c r="E8" s="478">
        <f>industrie!E18</f>
        <v>2489.5908432702777</v>
      </c>
      <c r="F8" s="478">
        <f>industrie!F18</f>
        <v>8603.2347148064291</v>
      </c>
      <c r="G8" s="478">
        <f>industrie!G18</f>
        <v>0</v>
      </c>
      <c r="H8" s="478">
        <f>industrie!H18</f>
        <v>0</v>
      </c>
      <c r="I8" s="478">
        <f>industrie!I18</f>
        <v>0</v>
      </c>
      <c r="J8" s="478">
        <f>industrie!J18</f>
        <v>123.02269578316132</v>
      </c>
      <c r="K8" s="478">
        <f>industrie!K18</f>
        <v>0</v>
      </c>
      <c r="L8" s="478">
        <f>industrie!L18</f>
        <v>0</v>
      </c>
      <c r="M8" s="478">
        <f>industrie!M18</f>
        <v>0</v>
      </c>
      <c r="N8" s="478">
        <f>industrie!N18</f>
        <v>8406.8818436348793</v>
      </c>
      <c r="O8" s="478">
        <f>industrie!O18</f>
        <v>0</v>
      </c>
      <c r="P8" s="479">
        <f>industrie!P18</f>
        <v>0</v>
      </c>
      <c r="Q8" s="477">
        <f t="shared" si="0"/>
        <v>70198.167324700131</v>
      </c>
    </row>
    <row r="9" spans="1:17" s="483" customFormat="1">
      <c r="A9" s="481" t="s">
        <v>561</v>
      </c>
      <c r="B9" s="482">
        <f>transport!B14</f>
        <v>77.29455018030221</v>
      </c>
      <c r="C9" s="482">
        <f>transport!C14</f>
        <v>0</v>
      </c>
      <c r="D9" s="482">
        <f>transport!D14</f>
        <v>252.62082219894583</v>
      </c>
      <c r="E9" s="482">
        <f>transport!E14</f>
        <v>399.86119214340908</v>
      </c>
      <c r="F9" s="482">
        <f>transport!F14</f>
        <v>0</v>
      </c>
      <c r="G9" s="482">
        <f>transport!G14</f>
        <v>192949.4408755152</v>
      </c>
      <c r="H9" s="482">
        <f>transport!H14</f>
        <v>29480.100084008234</v>
      </c>
      <c r="I9" s="482">
        <f>transport!I14</f>
        <v>0</v>
      </c>
      <c r="J9" s="482">
        <f>transport!J14</f>
        <v>0</v>
      </c>
      <c r="K9" s="482">
        <f>transport!K14</f>
        <v>0</v>
      </c>
      <c r="L9" s="482">
        <f>transport!L14</f>
        <v>0</v>
      </c>
      <c r="M9" s="482">
        <f>transport!M14</f>
        <v>12148.260435888889</v>
      </c>
      <c r="N9" s="482">
        <f>transport!N14</f>
        <v>0</v>
      </c>
      <c r="O9" s="482">
        <f>transport!O14</f>
        <v>0</v>
      </c>
      <c r="P9" s="482">
        <f>transport!P14</f>
        <v>0</v>
      </c>
      <c r="Q9" s="481">
        <f>SUM(B9:P9)</f>
        <v>235307.57795993498</v>
      </c>
    </row>
    <row r="10" spans="1:17">
      <c r="A10" s="477" t="s">
        <v>551</v>
      </c>
      <c r="B10" s="478">
        <f>transport!B54</f>
        <v>1182.5444712385683</v>
      </c>
      <c r="C10" s="478">
        <f>transport!C54</f>
        <v>0</v>
      </c>
      <c r="D10" s="478">
        <f>transport!D54</f>
        <v>0</v>
      </c>
      <c r="E10" s="478">
        <f>transport!E54</f>
        <v>0</v>
      </c>
      <c r="F10" s="478">
        <f>transport!F54</f>
        <v>0</v>
      </c>
      <c r="G10" s="478">
        <f>transport!G54</f>
        <v>1036.5794743869374</v>
      </c>
      <c r="H10" s="478">
        <f>transport!H54</f>
        <v>0</v>
      </c>
      <c r="I10" s="478">
        <f>transport!I54</f>
        <v>0</v>
      </c>
      <c r="J10" s="478">
        <f>transport!J54</f>
        <v>0</v>
      </c>
      <c r="K10" s="478">
        <f>transport!K54</f>
        <v>0</v>
      </c>
      <c r="L10" s="478">
        <f>transport!L54</f>
        <v>0</v>
      </c>
      <c r="M10" s="478">
        <f>transport!M54</f>
        <v>58.873138085909687</v>
      </c>
      <c r="N10" s="478">
        <f>transport!N54</f>
        <v>0</v>
      </c>
      <c r="O10" s="478">
        <f>transport!O54</f>
        <v>0</v>
      </c>
      <c r="P10" s="479">
        <f>transport!P54</f>
        <v>0</v>
      </c>
      <c r="Q10" s="477">
        <f t="shared" si="0"/>
        <v>2277.9970837114156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99182.153543101202</v>
      </c>
      <c r="C14" s="488">
        <f t="shared" ref="C14:Q14" ca="1" si="1">SUM(C4:C13)</f>
        <v>44177.142857142855</v>
      </c>
      <c r="D14" s="488">
        <f t="shared" ca="1" si="1"/>
        <v>128044.78089442605</v>
      </c>
      <c r="E14" s="488">
        <f t="shared" si="1"/>
        <v>3719.2235088227617</v>
      </c>
      <c r="F14" s="488">
        <f t="shared" ca="1" si="1"/>
        <v>18584.285777074358</v>
      </c>
      <c r="G14" s="488">
        <f t="shared" si="1"/>
        <v>193986.02034990213</v>
      </c>
      <c r="H14" s="488">
        <f t="shared" si="1"/>
        <v>29480.100084008234</v>
      </c>
      <c r="I14" s="488">
        <f t="shared" si="1"/>
        <v>0</v>
      </c>
      <c r="J14" s="488">
        <f t="shared" si="1"/>
        <v>311.2202298098515</v>
      </c>
      <c r="K14" s="488">
        <f t="shared" si="1"/>
        <v>0</v>
      </c>
      <c r="L14" s="488">
        <f t="shared" ca="1" si="1"/>
        <v>0</v>
      </c>
      <c r="M14" s="488">
        <f t="shared" si="1"/>
        <v>12207.133573974799</v>
      </c>
      <c r="N14" s="488">
        <f t="shared" ca="1" si="1"/>
        <v>16244.64139992126</v>
      </c>
      <c r="O14" s="488">
        <f t="shared" si="1"/>
        <v>165.71333333333334</v>
      </c>
      <c r="P14" s="489">
        <f t="shared" si="1"/>
        <v>305.06666666666666</v>
      </c>
      <c r="Q14" s="489">
        <f t="shared" ca="1" si="1"/>
        <v>546407.48221818358</v>
      </c>
    </row>
    <row r="16" spans="1:17">
      <c r="A16" s="491" t="s">
        <v>556</v>
      </c>
      <c r="B16" s="841">
        <f ca="1">huishoudens!B10</f>
        <v>0.2150686206564961</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6715.484855728726</v>
      </c>
      <c r="C21" s="478">
        <f t="shared" ref="C21:C30" ca="1" si="3">C4*$C$16</f>
        <v>0</v>
      </c>
      <c r="D21" s="478">
        <f t="shared" ref="D21:D30" si="4">D4*$D$16</f>
        <v>18108.831031838177</v>
      </c>
      <c r="E21" s="478">
        <f t="shared" ref="E21:E30" si="5">E4*$E$16</f>
        <v>86.906248502922537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24911.222136069824</v>
      </c>
    </row>
    <row r="22" spans="1:17">
      <c r="A22" s="477" t="s">
        <v>156</v>
      </c>
      <c r="B22" s="478">
        <f t="shared" ca="1" si="2"/>
        <v>5437.2626701501049</v>
      </c>
      <c r="C22" s="478">
        <f t="shared" ca="1" si="3"/>
        <v>7.6386554621848752</v>
      </c>
      <c r="D22" s="478">
        <f t="shared" ca="1" si="4"/>
        <v>5329.3555040239635</v>
      </c>
      <c r="E22" s="478">
        <f t="shared" si="5"/>
        <v>92.788035183044741</v>
      </c>
      <c r="F22" s="478">
        <f t="shared" ca="1" si="6"/>
        <v>1220.6161240426336</v>
      </c>
      <c r="G22" s="478">
        <f t="shared" si="7"/>
        <v>0</v>
      </c>
      <c r="H22" s="478">
        <f t="shared" si="8"/>
        <v>0</v>
      </c>
      <c r="I22" s="478">
        <f t="shared" si="9"/>
        <v>0</v>
      </c>
      <c r="J22" s="478">
        <f t="shared" si="10"/>
        <v>2.6077343864486045E-2</v>
      </c>
      <c r="K22" s="478">
        <f t="shared" si="11"/>
        <v>0</v>
      </c>
      <c r="L22" s="478">
        <f t="shared" ca="1" si="12"/>
        <v>0</v>
      </c>
      <c r="M22" s="478">
        <f t="shared" si="13"/>
        <v>0</v>
      </c>
      <c r="N22" s="478">
        <f t="shared" ca="1" si="14"/>
        <v>0</v>
      </c>
      <c r="O22" s="478">
        <f t="shared" si="15"/>
        <v>0</v>
      </c>
      <c r="P22" s="479">
        <f t="shared" si="16"/>
        <v>0</v>
      </c>
      <c r="Q22" s="477">
        <f t="shared" ref="Q22:Q30" ca="1" si="17">SUM(B22:P22)</f>
        <v>12087.687066205795</v>
      </c>
    </row>
    <row r="23" spans="1:17">
      <c r="A23" s="477" t="s">
        <v>194</v>
      </c>
      <c r="B23" s="478">
        <f t="shared" ca="1" si="2"/>
        <v>280.35161161726887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280.35161161726887</v>
      </c>
    </row>
    <row r="24" spans="1:17">
      <c r="A24" s="477" t="s">
        <v>112</v>
      </c>
      <c r="B24" s="478">
        <f t="shared" ca="1" si="2"/>
        <v>279.26527505000325</v>
      </c>
      <c r="C24" s="478">
        <f t="shared" ca="1" si="3"/>
        <v>10490.929411764706</v>
      </c>
      <c r="D24" s="478">
        <f t="shared" si="4"/>
        <v>0</v>
      </c>
      <c r="E24" s="478">
        <f t="shared" si="5"/>
        <v>8.6638407778928226</v>
      </c>
      <c r="F24" s="478">
        <f t="shared" si="6"/>
        <v>1444.3245095829031</v>
      </c>
      <c r="G24" s="478">
        <f t="shared" si="7"/>
        <v>0</v>
      </c>
      <c r="H24" s="478">
        <f t="shared" si="8"/>
        <v>0</v>
      </c>
      <c r="I24" s="478">
        <f t="shared" si="9"/>
        <v>0</v>
      </c>
      <c r="J24" s="478">
        <f t="shared" si="10"/>
        <v>66.59584970158383</v>
      </c>
      <c r="K24" s="478">
        <f t="shared" si="11"/>
        <v>0</v>
      </c>
      <c r="L24" s="478">
        <f t="shared" si="12"/>
        <v>0</v>
      </c>
      <c r="M24" s="478">
        <f t="shared" si="13"/>
        <v>0</v>
      </c>
      <c r="N24" s="478">
        <f t="shared" si="14"/>
        <v>0</v>
      </c>
      <c r="O24" s="478">
        <f t="shared" si="15"/>
        <v>0</v>
      </c>
      <c r="P24" s="479">
        <f t="shared" si="16"/>
        <v>0</v>
      </c>
      <c r="Q24" s="477">
        <f t="shared" ca="1" si="17"/>
        <v>12289.778886877089</v>
      </c>
    </row>
    <row r="25" spans="1:17">
      <c r="A25" s="477" t="s">
        <v>635</v>
      </c>
      <c r="B25" s="478">
        <f t="shared" ca="1" si="2"/>
        <v>8347.6527031236965</v>
      </c>
      <c r="C25" s="478">
        <f t="shared" ca="1" si="3"/>
        <v>0</v>
      </c>
      <c r="D25" s="478">
        <f t="shared" si="4"/>
        <v>2375.8297987277365</v>
      </c>
      <c r="E25" s="478">
        <f t="shared" si="5"/>
        <v>565.13712142235306</v>
      </c>
      <c r="F25" s="478">
        <f t="shared" si="6"/>
        <v>2297.0636688533168</v>
      </c>
      <c r="G25" s="478">
        <f t="shared" si="7"/>
        <v>0</v>
      </c>
      <c r="H25" s="478">
        <f t="shared" si="8"/>
        <v>0</v>
      </c>
      <c r="I25" s="478">
        <f t="shared" si="9"/>
        <v>0</v>
      </c>
      <c r="J25" s="478">
        <f t="shared" si="10"/>
        <v>43.550034307239109</v>
      </c>
      <c r="K25" s="478">
        <f t="shared" si="11"/>
        <v>0</v>
      </c>
      <c r="L25" s="478">
        <f t="shared" si="12"/>
        <v>0</v>
      </c>
      <c r="M25" s="478">
        <f t="shared" si="13"/>
        <v>0</v>
      </c>
      <c r="N25" s="478">
        <f t="shared" si="14"/>
        <v>0</v>
      </c>
      <c r="O25" s="478">
        <f t="shared" si="15"/>
        <v>0</v>
      </c>
      <c r="P25" s="479">
        <f t="shared" si="16"/>
        <v>0</v>
      </c>
      <c r="Q25" s="477">
        <f t="shared" ca="1" si="17"/>
        <v>13629.233326434342</v>
      </c>
    </row>
    <row r="26" spans="1:17" s="483" customFormat="1">
      <c r="A26" s="481" t="s">
        <v>561</v>
      </c>
      <c r="B26" s="835">
        <f t="shared" ca="1" si="2"/>
        <v>16.623632291541917</v>
      </c>
      <c r="C26" s="482">
        <f t="shared" ca="1" si="3"/>
        <v>0</v>
      </c>
      <c r="D26" s="482">
        <f t="shared" si="4"/>
        <v>51.029406084187059</v>
      </c>
      <c r="E26" s="482">
        <f t="shared" si="5"/>
        <v>90.768490616553862</v>
      </c>
      <c r="F26" s="482">
        <f t="shared" si="6"/>
        <v>0</v>
      </c>
      <c r="G26" s="482">
        <f t="shared" si="7"/>
        <v>51517.500713762558</v>
      </c>
      <c r="H26" s="482">
        <f t="shared" si="8"/>
        <v>7340.5449209180506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59016.467163672889</v>
      </c>
    </row>
    <row r="27" spans="1:17">
      <c r="A27" s="477" t="s">
        <v>551</v>
      </c>
      <c r="B27" s="478">
        <f t="shared" ca="1" si="2"/>
        <v>254.3282082942444</v>
      </c>
      <c r="C27" s="478">
        <f t="shared" ca="1" si="3"/>
        <v>0</v>
      </c>
      <c r="D27" s="478">
        <f t="shared" si="4"/>
        <v>0</v>
      </c>
      <c r="E27" s="478">
        <f t="shared" si="5"/>
        <v>0</v>
      </c>
      <c r="F27" s="478">
        <f t="shared" si="6"/>
        <v>0</v>
      </c>
      <c r="G27" s="478">
        <f t="shared" si="7"/>
        <v>276.76671966131227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531.09492795555661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21330.968956255587</v>
      </c>
      <c r="C31" s="488">
        <f t="shared" ca="1" si="18"/>
        <v>10498.56806722689</v>
      </c>
      <c r="D31" s="488">
        <f t="shared" ca="1" si="18"/>
        <v>25865.045740674064</v>
      </c>
      <c r="E31" s="488">
        <f t="shared" si="18"/>
        <v>844.26373650276707</v>
      </c>
      <c r="F31" s="488">
        <f t="shared" ca="1" si="18"/>
        <v>4962.0043024788538</v>
      </c>
      <c r="G31" s="488">
        <f t="shared" si="18"/>
        <v>51794.267433423869</v>
      </c>
      <c r="H31" s="488">
        <f t="shared" si="18"/>
        <v>7340.5449209180506</v>
      </c>
      <c r="I31" s="488">
        <f t="shared" si="18"/>
        <v>0</v>
      </c>
      <c r="J31" s="488">
        <f t="shared" si="18"/>
        <v>110.17196135268742</v>
      </c>
      <c r="K31" s="488">
        <f t="shared" si="18"/>
        <v>0</v>
      </c>
      <c r="L31" s="488">
        <f t="shared" ca="1" si="18"/>
        <v>0</v>
      </c>
      <c r="M31" s="488">
        <f t="shared" si="18"/>
        <v>0</v>
      </c>
      <c r="N31" s="488">
        <f t="shared" ca="1" si="18"/>
        <v>0</v>
      </c>
      <c r="O31" s="488">
        <f t="shared" si="18"/>
        <v>0</v>
      </c>
      <c r="P31" s="489">
        <f t="shared" si="18"/>
        <v>0</v>
      </c>
      <c r="Q31" s="489">
        <f t="shared" ca="1" si="18"/>
        <v>122745.83511883275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0.2150686206564961</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0.2150686206564961</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0.2150686206564961</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2018-09-06T12:46:01Z</dcterms:modified>
</cp:coreProperties>
</file>