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B8" i="9"/>
  <c r="J15" i="16"/>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I14" l="1"/>
  <c r="N7"/>
  <c r="N24" s="1"/>
  <c r="G14" i="22"/>
  <c r="P13" i="14"/>
  <c r="P15" s="1"/>
  <c r="P23" s="1"/>
  <c r="P55" s="1"/>
  <c r="E7" i="48"/>
  <c r="E24" s="1"/>
  <c r="P3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B22" i="6"/>
  <c r="C10" i="17" s="1"/>
  <c r="C12" s="1"/>
  <c r="D48"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16" i="48" s="1"/>
  <c r="C30" s="1"/>
  <c r="C18" i="15"/>
  <c r="C20" s="1"/>
  <c r="D36" i="14" s="1"/>
  <c r="C20" i="16"/>
  <c r="C22" s="1"/>
  <c r="D39" i="14" s="1"/>
  <c r="C17" i="19"/>
  <c r="C19" s="1"/>
  <c r="D35" i="14" s="1"/>
  <c r="C29" i="20"/>
  <c r="C17" i="49"/>
  <c r="Q5" i="48"/>
  <c r="F8"/>
  <c r="Q4"/>
  <c r="N22"/>
  <c r="R11" i="14"/>
  <c r="J21" i="48"/>
  <c r="R10" i="14"/>
  <c r="C56" i="22" l="1"/>
  <c r="C58" s="1"/>
  <c r="D44" i="14" s="1"/>
  <c r="D46" s="1"/>
  <c r="O13"/>
  <c r="O15" s="1"/>
  <c r="F41"/>
  <c r="F53" s="1"/>
  <c r="F22" i="16"/>
  <c r="G39" i="14" s="1"/>
  <c r="G41"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R13" i="14"/>
  <c r="R15" s="1"/>
  <c r="F25" i="48"/>
  <c r="F31" s="1"/>
  <c r="F14"/>
  <c r="F55" i="14" l="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<sst xmlns="http://schemas.openxmlformats.org/spreadsheetml/2006/main" count="1923" uniqueCount="814">
  <si>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</si>
  <si>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</si>
  <si>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</si>
  <si>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</si>
  <si>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</si>
  <si>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</si>
  <si>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</si>
  <si>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</si>
  <si>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</si>
  <si>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</si>
  <si>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</si>
  <si>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</si>
  <si>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</si>
  <si>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</si>
  <si>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</si>
  <si>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</si>
  <si>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</si>
  <si>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</si>
  <si>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</si>
  <si>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</si>
  <si>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</si>
  <si>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</si>
  <si>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</si>
  <si>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</si>
  <si>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</si>
  <si>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</si>
  <si>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</si>
  <si>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</si>
  <si>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</si>
  <si>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</si>
  <si>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</si>
  <si>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</si>
  <si>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</si>
  <si>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</si>
  <si>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</si>
  <si>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</si>
  <si>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</si>
  <si>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</si>
  <si>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</si>
  <si>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</si>
  <si>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</si>
  <si>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</si>
  <si>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</si>
  <si>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</si>
  <si>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</si>
  <si>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</si>
  <si>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</si>
  <si>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</si>
  <si>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</si>
  <si>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</si>
  <si>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</si>
  <si>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</si>
  <si>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</si>
  <si>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</si>
  <si>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</si>
  <si>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</si>
  <si>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</si>
  <si>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</si>
  <si>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</si>
  <si>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</si>
  <si>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</si>
  <si>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</si>
  <si>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</si>
  <si>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</si>
  <si>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</si>
  <si>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</si>
  <si>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</si>
  <si>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</si>
  <si>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</si>
  <si>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</si>
  <si>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</si>
  <si>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</si>
  <si>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</si>
  <si>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</si>
  <si>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</si>
  <si>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</si>
  <si>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</si>
  <si>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</si>
  <si>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</si>
  <si>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</si>
  <si>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</si>
  <si>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</si>
  <si>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</si>
  <si>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</si>
  <si>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</si>
  <si>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</si>
  <si>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</si>
  <si>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</si>
  <si>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</si>
  <si>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</si>
  <si>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</si>
  <si>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</si>
  <si>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</si>
  <si>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</si>
  <si>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</si>
  <si>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</si>
  <si>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</si>
  <si>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</si>
  <si>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</si>
  <si>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</si>
  <si>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</si>
  <si>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</si>
  <si>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</si>
  <si>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</si>
  <si>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</si>
  <si>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</si>
  <si>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</si>
  <si>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</si>
  <si>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</si>
  <si>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</si>
  <si>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</si>
  <si>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</si>
  <si>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</si>
  <si>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</si>
  <si>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</si>
  <si>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</si>
  <si>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</si>
  <si>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</si>
  <si>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</si>
  <si>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</si>
  <si>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</si>
  <si>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</si>
  <si>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</si>
  <si>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</si>
  <si>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</si>
  <si>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</si>
  <si>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</si>
  <si>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</si>
  <si>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</si>
  <si>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</si>
  <si>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</si>
  <si>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</si>
  <si>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</si>
  <si>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</si>
  <si>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</si>
  <si>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</si>
  <si>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</si>
  <si>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</si>
  <si>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</si>
  <si>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</si>
  <si>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</si>
  <si>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</si>
  <si>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</si>
  <si>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</si>
  <si>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</si>
  <si>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</si>
  <si>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</si>
  <si>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</si>
  <si>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</si>
  <si>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</si>
  <si>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</si>
  <si>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</si>
  <si>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</si>
  <si>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</si>
  <si>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</si>
  <si>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</si>
  <si>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</si>
  <si>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</si>
  <si>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</si>
  <si>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</si>
  <si>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</si>
  <si>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</si>
  <si>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</si>
  <si>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</si>
  <si>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</si>
  <si>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</si>
  <si>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</si>
  <si>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</si>
  <si>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</si>
  <si>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</si>
  <si>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</si>
  <si>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</si>
  <si>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</si>
  <si>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</si>
  <si>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</si>
  <si>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</si>
  <si>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</si>
  <si>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</si>
  <si>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</si>
  <si>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</si>
  <si>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</si>
  <si>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</si>
  <si>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</si>
  <si>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</si>
  <si>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</si>
  <si>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</si>
  <si>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</si>
  <si>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</si>
  <si>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</si>
  <si>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</si>
  <si>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</si>
  <si>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</si>
  <si>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</si>
  <si>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</si>
  <si>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</si>
  <si>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</si>
  <si>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</si>
  <si>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</si>
  <si>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</si>
  <si>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</si>
  <si>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</si>
  <si>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</si>
  <si>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</si>
  <si>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</si>
  <si>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</si>
  <si>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</si>
  <si>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</si>
  <si>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</si>
  <si>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</si>
  <si>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</si>
  <si>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</si>
  <si>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</si>
  <si>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</si>
  <si>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</si>
  <si>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</si>
  <si>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</si>
  <si>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</si>
  <si>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</si>
  <si>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</si>
  <si>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</si>
  <si>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</si>
  <si>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</si>
  <si>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</si>
  <si>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</si>
  <si>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</si>
  <si>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</si>
  <si>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</si>
  <si>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</si>
  <si>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</si>
  <si>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</si>
  <si>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</si>
  <si>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</si>
  <si>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</si>
  <si>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</si>
  <si>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</si>
  <si>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</si>
  <si>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</si>
  <si>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</si>
  <si>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</si>
  <si>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</si>
  <si>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</si>
  <si>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</si>
  <si>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</si>
  <si>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</si>
  <si>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</si>
  <si>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</si>
  <si>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</si>
  <si>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</si>
  <si>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</si>
  <si>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</si>
  <si>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</si>
  <si>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</si>
  <si>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</si>
  <si>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</si>
  <si>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</si>
  <si>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</si>
  <si>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</si>
  <si>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</si>
  <si>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</si>
  <si>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</si>
  <si>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</si>
  <si>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</si>
  <si>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</si>
  <si>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</si>
  <si>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</si>
  <si>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</si>
  <si>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</si>
  <si>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</si>
  <si>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</si>
  <si>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</si>
  <si>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</si>
  <si>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</si>
  <si>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</si>
  <si>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</si>
  <si>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</si>
  <si>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</si>
  <si>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</si>
  <si>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</si>
  <si>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</si>
  <si>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</si>
  <si>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</si>
  <si>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</si>
  <si>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</si>
  <si>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</si>
  <si>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</si>
  <si>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</si>
  <si>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</si>
  <si>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</si>
  <si>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</si>
  <si>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</si>
  <si>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</si>
  <si>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</si>
  <si>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</si>
  <si>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</si>
  <si>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</si>
  <si>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</si>
  <si>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</si>
  <si>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</si>
  <si>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</si>
  <si>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</si>
  <si>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</si>
  <si>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</si>
  <si>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</si>
  <si>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</si>
  <si>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</si>
  <si>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</si>
  <si>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</si>
  <si>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</si>
  <si>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</si>
  <si>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</si>
  <si>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</si>
  <si>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</si>
  <si>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</si>
  <si>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</si>
  <si>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</si>
  <si>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</si>
  <si>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</si>
  <si>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</si>
  <si>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</si>
  <si>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</si>
  <si>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</si>
  <si>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</si>
  <si>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</si>
  <si>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</si>
  <si>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</si>
  <si>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</si>
  <si>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</si>
  <si>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</si>
  <si>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</si>
  <si>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</si>
  <si>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</si>
  <si>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</si>
  <si>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</si>
  <si>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</si>
  <si>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</si>
  <si>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</si>
  <si>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</si>
  <si>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</si>
  <si>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</si>
  <si>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</si>
  <si>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</si>
  <si>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</si>
  <si>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</si>
  <si>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</si>
  <si>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</si>
  <si>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</si>
  <si>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</si>
  <si>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</si>
  <si>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</si>
  <si>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</si>
  <si>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</si>
  <si>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</si>
  <si>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</si>
  <si>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</si>
  <si>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</si>
  <si>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</si>
  <si>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</si>
  <si>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</si>
  <si>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</si>
  <si>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</si>
  <si>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</si>
  <si>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</si>
  <si>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</si>
  <si>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</si>
  <si>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</si>
  <si>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</si>
  <si>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</si>
  <si>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</si>
  <si>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</si>
  <si>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</si>
  <si>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</si>
  <si>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</si>
  <si>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</si>
  <si>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</si>
  <si>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</si>
  <si>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</si>
  <si>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</si>
  <si>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</si>
  <si>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</si>
  <si>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</si>
  <si>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</si>
  <si>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</si>
  <si>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</si>
  <si>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</si>
  <si>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</si>
  <si>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</si>
  <si>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</si>
  <si>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</si>
  <si>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</si>
  <si>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</si>
  <si>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</si>
  <si>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</si>
  <si>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</si>
  <si>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</si>
  <si>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</si>
  <si>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</si>
  <si>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</si>
  <si>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</si>
  <si>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</si>
  <si>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</si>
  <si>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</si>
  <si>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</si>
  <si>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</si>
  <si>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</si>
  <si>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</si>
  <si>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</si>
  <si>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</si>
  <si>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</si>
  <si>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</si>
  <si>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</si>
  <si>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</si>
  <si>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</si>
  <si>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</si>
  <si>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</si>
  <si>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</si>
  <si>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</si>
  <si>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</si>
  <si>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</si>
  <si>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</si>
  <si>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</si>
  <si>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</si>
  <si>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</si>
  <si>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</si>
  <si>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</si>
  <si>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</si>
  <si>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</si>
  <si>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</si>
  <si>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</si>
  <si>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</si>
  <si>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</si>
  <si>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</si>
  <si>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</si>
  <si>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</si>
  <si>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</si>
  <si>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</si>
  <si>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</si>
  <si>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</si>
  <si>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</si>
  <si>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</si>
  <si>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</si>
  <si>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</si>
  <si>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</si>
  <si>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</si>
  <si>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</si>
  <si>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</si>
  <si>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</si>
  <si>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</si>
  <si>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</si>
  <si>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</si>
  <si>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</si>
  <si>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</si>
  <si>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</si>
  <si>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</si>
  <si>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</si>
  <si>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</si>
  <si>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</si>
  <si>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</si>
  <si>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</si>
  <si>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</si>
  <si>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</si>
  <si>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</si>
  <si>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</si>
  <si>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</si>
  <si>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</si>
  <si>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</si>
  <si>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</si>
  <si>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</si>
  <si>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</si>
  <si>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</si>
  <si>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</si>
  <si>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</si>
  <si>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</si>
  <si>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</si>
  <si>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</si>
  <si>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</si>
  <si>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</si>
  <si>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</si>
  <si>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</si>
  <si>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</si>
  <si>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</si>
  <si>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</si>
  <si>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</si>
  <si>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</si>
  <si>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</si>
  <si>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</si>
  <si>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</si>
  <si>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</si>
  <si>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</si>
  <si>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</si>
  <si>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</si>
  <si>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</si>
  <si>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</si>
  <si>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</si>
  <si>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</si>
  <si>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</si>
  <si>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</si>
  <si>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</si>
  <si>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</si>
  <si>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</si>
  <si>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</si>
  <si>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</si>
  <si>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</si>
  <si>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</si>
  <si>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</si>
  <si>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</si>
  <si>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</si>
  <si>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</si>
  <si>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</si>
  <si>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</si>
  <si>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</si>
  <si>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</si>
  <si>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</si>
  <si>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</si>
  <si>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</si>
  <si>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</si>
  <si>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</si>
  <si>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</si>
  <si>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</si>
  <si>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</si>
  <si>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</si>
  <si>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</si>
  <si>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</si>
  <si>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</si>
  <si>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</si>
  <si>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</si>
  <si>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</si>
  <si>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</si>
  <si>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</si>
  <si>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</si>
  <si>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</si>
  <si>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</si>
  <si>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</si>
  <si>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</si>
  <si>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</si>
  <si>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</si>
  <si>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</si>
  <si>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</si>
  <si>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</si>
  <si>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</si>
  <si>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</si>
  <si>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</si>
  <si>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</si>
  <si>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</si>
  <si>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</si>
  <si>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</si>
  <si>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</si>
  <si>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</si>
  <si>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</si>
  <si>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</si>
  <si>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</si>
  <si>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</si>
  <si>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</si>
  <si>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</si>
  <si>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</si>
  <si>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</si>
  <si>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</si>
  <si>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</si>
  <si>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</si>
  <si>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</si>
  <si>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</si>
  <si>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</si>
  <si>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</si>
  <si>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</si>
  <si>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</si>
  <si>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</si>
  <si>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</si>
  <si>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</si>
  <si>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</si>
  <si>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</si>
  <si>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</si>
  <si>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</si>
  <si>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</si>
  <si>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</si>
  <si>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</si>
  <si>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</si>
  <si>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</si>
  <si>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</si>
  <si>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</si>
  <si>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</si>
  <si>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</si>
  <si>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</si>
  <si>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</si>
  <si>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</si>
  <si>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</si>
  <si>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</si>
  <si>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</si>
  <si>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</si>
  <si>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</si>
  <si>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</si>
  <si>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</si>
  <si>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</si>
  <si>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</si>
  <si>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</si>
  <si>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</si>
  <si>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</si>
  <si>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</si>
  <si>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</si>
  <si>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</si>
  <si>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</si>
  <si>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</si>
  <si>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</si>
  <si>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</si>
  <si>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</si>
  <si>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</si>
  <si>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</si>
  <si>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</si>
  <si>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</si>
  <si>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</si>
  <si>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</si>
  <si>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</si>
  <si>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</si>
  <si>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</si>
  <si>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</si>
  <si>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</si>
  <si>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</si>
  <si>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</si>
  <si>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</si>
  <si>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</si>
  <si>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</si>
  <si>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</si>
  <si>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</si>
  <si>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</si>
  <si>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</si>
  <si>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</si>
  <si>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</si>
  <si>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</si>
  <si>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</si>
  <si>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</si>
  <si>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</si>
  <si>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</si>
  <si>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</si>
  <si>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</si>
  <si>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</si>
  <si>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</si>
  <si>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</si>
  <si>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</si>
  <si>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</si>
  <si>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</si>
  <si>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</si>
  <si>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</si>
  <si>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</si>
  <si>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</si>
  <si>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</si>
  <si>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</si>
  <si>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</si>
  <si>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</si>
  <si>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</si>
  <si>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</si>
  <si>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</si>
  <si>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</si>
  <si>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</si>
  <si>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</si>
  <si>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</si>
  <si>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</si>
  <si>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</si>
  <si>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</si>
  <si>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</si>
  <si>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</si>
  <si>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</si>
  <si>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</si>
  <si>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</si>
  <si>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</si>
  <si>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</si>
  <si>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</si>
  <si>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</si>
  <si>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</si>
  <si>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</si>
  <si>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</si>
  <si>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</si>
  <si>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</si>
  <si>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</si>
  <si>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</si>
  <si>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</si>
  <si>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</si>
  <si>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</si>
  <si>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</si>
  <si>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</si>
  <si>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</si>
  <si>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</si>
  <si>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</si>
  <si>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</si>
  <si>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</si>
  <si>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</si>
  <si>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</si>
  <si>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</si>
  <si>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</si>
  <si>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</si>
  <si>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</si>
  <si>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</si>
  <si>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</si>
  <si>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</si>
  <si>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</si>
  <si>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</si>
  <si>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</si>
  <si>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</si>
  <si>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</si>
  <si>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</si>
  <si>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</si>
  <si>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</si>
  <si>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</si>
  <si>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</si>
  <si>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</si>
  <si>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</si>
  <si>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</si>
  <si>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</si>
  <si>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</si>
  <si>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</si>
  <si>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</si>
  <si>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</si>
  <si>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</si>
  <si>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</si>
  <si>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</si>
  <si>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</si>
  <si>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</si>
  <si>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</si>
  <si>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</si>
  <si>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</si>
  <si>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</si>
  <si>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</si>
  <si>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</si>
  <si>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</si>
  <si>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</si>
  <si>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</si>
  <si>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</si>
  <si>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</si>
  <si>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</si>
  <si>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</si>
  <si>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</si>
  <si>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</si>
  <si>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</si>
  <si>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</si>
  <si>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</si>
  <si>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</si>
  <si>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</si>
  <si>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</si>
  <si>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</si>
  <si>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</si>
  <si>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</si>
  <si>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</si>
  <si>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</si>
  <si>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</si>
  <si>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</si>
  <si>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</si>
  <si>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</si>
  <si>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</si>
  <si>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</si>
  <si>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</si>
  <si>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</si>
  <si>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</si>
  <si>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</si>
  <si>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</si>
  <si>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</si>
  <si>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</si>
  <si>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</si>
  <si>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</si>
  <si>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</si>
  <si>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</si>
  <si>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</si>
  <si>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</si>
  <si>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</si>
  <si>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</si>
  <si>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</si>
  <si>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</si>
  <si>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</si>
  <si>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</si>
  <si>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</si>
  <si>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</si>
  <si>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</si>
  <si>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</si>
  <si>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</si>
  <si>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</si>
  <si>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</si>
  <si>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</si>
  <si>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</si>
  <si>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</si>
  <si>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</si>
  <si>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</si>
  <si>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</si>
  <si>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</si>
  <si>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</si>
  <si>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</si>
  <si>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</si>
  <si>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</si>
  <si>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</si>
  <si>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</si>
  <si>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</si>
  <si>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</si>
  <si>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</si>
  <si>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</si>
  <si>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</si>
  <si>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</si>
  <si>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</si>
  <si>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</si>
  <si>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</si>
  <si>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</si>
  <si>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</si>
  <si>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</si>
  <si>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</si>
  <si>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</si>
  <si>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</si>
  <si>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</si>
  <si>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11040</t>
  </si>
  <si>
    <t>SCHOTEN</t>
  </si>
  <si>
    <t>Eandis (januari 2018); Infrax (juni 2018)</t>
  </si>
  <si>
    <t>MOW (september 2017)</t>
  </si>
  <si>
    <t>referentietaak LNE (2017); Jaarverslag De Lijn (2016)</t>
  </si>
  <si>
    <t>VEA (april 2018)</t>
  </si>
  <si>
    <t>VEA (januari 2017)</t>
  </si>
  <si>
    <t>VEA (juni 2018)</t>
  </si>
  <si>
    <t>Dokters De Beuckeleer - Callens BVBA</t>
  </si>
  <si>
    <t>Meeuwenlei 10 , 2900 Schoten</t>
  </si>
  <si>
    <t>WKK-0670 De Beuckeleer - Callens</t>
  </si>
  <si>
    <t>brandstofcel</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</si>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</sst>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258271.75295509756</c:v>
                </c:pt>
                <c:pt idx="1">
                  <c:v>117288.73928134081</c:v>
                </c:pt>
                <c:pt idx="2">
                  <c:v>1884.704</c:v>
                </c:pt>
                <c:pt idx="3">
                  <c:v>9902.2509613889051</c:v>
                </c:pt>
                <c:pt idx="4">
                  <c:v>208525.10083700652</c:v>
                </c:pt>
                <c:pt idx="5">
                  <c:v>339316.84590312705</c:v>
                </c:pt>
                <c:pt idx="6">
                  <c:v>3798.6490473509116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21216"/>
        <c:axId val="182555776"/>
      </c:barChart>
      <c:catAx>
        <c:axId val="182521216"/>
        <c:scaling>
          <c:orientation val="minMax"/>
        </c:scaling>
        <c:axPos val="b"/>
        <c:numFmt formatCode="General" sourceLinked="0"/>
        <c:tickLblPos val="nextTo"/>
        <c:crossAx val="182555776"/>
        <c:crosses val="autoZero"/>
        <c:auto val="1"/>
        <c:lblAlgn val="ctr"/>
        <c:lblOffset val="100"/>
      </c:catAx>
      <c:valAx>
        <c:axId val="182555776"/>
        <c:scaling>
          <c:orientation val="minMax"/>
        </c:scaling>
        <c:axPos val="l"/>
        <c:majorGridlines/>
        <c:numFmt formatCode="#,##0" sourceLinked="1"/>
        <c:tickLblPos val="nextTo"/>
        <c:crossAx val="1825212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258271.75295509756</c:v>
                </c:pt>
                <c:pt idx="1">
                  <c:v>117288.73928134081</c:v>
                </c:pt>
                <c:pt idx="2">
                  <c:v>1884.704</c:v>
                </c:pt>
                <c:pt idx="3">
                  <c:v>9902.2509613889051</c:v>
                </c:pt>
                <c:pt idx="4">
                  <c:v>208525.10083700652</c:v>
                </c:pt>
                <c:pt idx="5">
                  <c:v>339316.84590312705</c:v>
                </c:pt>
                <c:pt idx="6">
                  <c:v>3798.6490473509116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50464.298769145185</c:v>
                </c:pt>
                <c:pt idx="1">
                  <c:v>24380.570513705185</c:v>
                </c:pt>
                <c:pt idx="2">
                  <c:v>406.20830543572112</c:v>
                </c:pt>
                <c:pt idx="3">
                  <c:v>2091.83807006794</c:v>
                </c:pt>
                <c:pt idx="4">
                  <c:v>41960.139107491115</c:v>
                </c:pt>
                <c:pt idx="5">
                  <c:v>85020.861913492103</c:v>
                </c:pt>
                <c:pt idx="6">
                  <c:v>959.73082177111542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50464.298769145185</c:v>
                </c:pt>
                <c:pt idx="1">
                  <c:v>24380.570513705185</c:v>
                </c:pt>
                <c:pt idx="2">
                  <c:v>406.20830543572112</c:v>
                </c:pt>
                <c:pt idx="3">
                  <c:v>2091.83807006794</c:v>
                </c:pt>
                <c:pt idx="4">
                  <c:v>41960.139107491115</c:v>
                </c:pt>
                <c:pt idx="5">
                  <c:v>85020.861913492103</c:v>
                </c:pt>
                <c:pt idx="6">
                  <c:v>959.73082177111542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11040</v>
      </c>
      <c r="B6" s="415"/>
      <c r="C6" s="416"/>
    </row>
    <row r="7" spans="1:7" s="413" customFormat="1" ht="15.75" customHeight="1">
      <c r="A7" s="417" t="str">
        <f>txtMunicipality</f>
        <v>SCHOTEN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14327</v>
      </c>
      <c r="C9" s="342">
        <v>14464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169.62</v>
      </c>
    </row>
    <row r="15" spans="1:6">
      <c r="A15" s="348" t="s">
        <v>184</v>
      </c>
      <c r="B15" s="334">
        <v>2</v>
      </c>
    </row>
    <row r="16" spans="1:6">
      <c r="A16" s="348" t="s">
        <v>6</v>
      </c>
      <c r="B16" s="334">
        <v>0</v>
      </c>
    </row>
    <row r="17" spans="1:6">
      <c r="A17" s="348" t="s">
        <v>7</v>
      </c>
      <c r="B17" s="334">
        <v>41</v>
      </c>
    </row>
    <row r="18" spans="1:6">
      <c r="A18" s="348" t="s">
        <v>8</v>
      </c>
      <c r="B18" s="334">
        <v>23</v>
      </c>
    </row>
    <row r="19" spans="1:6">
      <c r="A19" s="348" t="s">
        <v>9</v>
      </c>
      <c r="B19" s="334">
        <v>19</v>
      </c>
    </row>
    <row r="20" spans="1:6">
      <c r="A20" s="348" t="s">
        <v>10</v>
      </c>
      <c r="B20" s="334">
        <v>33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744</v>
      </c>
      <c r="B29" s="355">
        <v>35</v>
      </c>
      <c r="C29" s="356"/>
      <c r="D29" s="356"/>
      <c r="E29" s="356"/>
      <c r="F29" s="356"/>
    </row>
    <row r="30" spans="1:6">
      <c r="A30" s="341" t="s">
        <v>745</v>
      </c>
      <c r="B30" s="341">
        <v>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1034676.26211347</v>
      </c>
      <c r="E38" s="334">
        <v>7</v>
      </c>
      <c r="F38" s="334">
        <v>1337613.3391597201</v>
      </c>
    </row>
    <row r="39" spans="1:6">
      <c r="A39" s="348" t="s">
        <v>30</v>
      </c>
      <c r="B39" s="348" t="s">
        <v>31</v>
      </c>
      <c r="C39" s="334">
        <v>11675</v>
      </c>
      <c r="D39" s="334">
        <v>205284764.03819999</v>
      </c>
      <c r="E39" s="334">
        <v>14329</v>
      </c>
      <c r="F39" s="334">
        <v>55448025.342171296</v>
      </c>
    </row>
    <row r="40" spans="1:6">
      <c r="A40" s="348" t="s">
        <v>30</v>
      </c>
      <c r="B40" s="348" t="s">
        <v>29</v>
      </c>
      <c r="C40" s="334">
        <v>0</v>
      </c>
      <c r="D40" s="334">
        <v>0</v>
      </c>
      <c r="E40" s="334">
        <v>0</v>
      </c>
      <c r="F40" s="334">
        <v>0</v>
      </c>
    </row>
    <row r="41" spans="1:6">
      <c r="A41" s="348" t="s">
        <v>32</v>
      </c>
      <c r="B41" s="348" t="s">
        <v>33</v>
      </c>
      <c r="C41" s="334">
        <v>134</v>
      </c>
      <c r="D41" s="334">
        <v>16078775.150697401</v>
      </c>
      <c r="E41" s="334">
        <v>224</v>
      </c>
      <c r="F41" s="334">
        <v>5183959.3842652496</v>
      </c>
    </row>
    <row r="42" spans="1:6">
      <c r="A42" s="348" t="s">
        <v>32</v>
      </c>
      <c r="B42" s="348" t="s">
        <v>34</v>
      </c>
      <c r="C42" s="334">
        <v>3</v>
      </c>
      <c r="D42" s="334">
        <v>720681.87369353604</v>
      </c>
      <c r="E42" s="334">
        <v>0</v>
      </c>
      <c r="F42" s="334">
        <v>0</v>
      </c>
    </row>
    <row r="43" spans="1:6">
      <c r="A43" s="348" t="s">
        <v>32</v>
      </c>
      <c r="B43" s="348" t="s">
        <v>35</v>
      </c>
      <c r="C43" s="334">
        <v>0</v>
      </c>
      <c r="D43" s="334">
        <v>0</v>
      </c>
      <c r="E43" s="334">
        <v>0</v>
      </c>
      <c r="F43" s="334">
        <v>0</v>
      </c>
    </row>
    <row r="44" spans="1:6">
      <c r="A44" s="348" t="s">
        <v>32</v>
      </c>
      <c r="B44" s="348" t="s">
        <v>36</v>
      </c>
      <c r="C44" s="334">
        <v>4</v>
      </c>
      <c r="D44" s="334">
        <v>217799.111573745</v>
      </c>
      <c r="E44" s="334">
        <v>27</v>
      </c>
      <c r="F44" s="334">
        <v>734082.14241725998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274821.13005353301</v>
      </c>
      <c r="E47" s="334">
        <v>10</v>
      </c>
      <c r="F47" s="334">
        <v>266805.001278346</v>
      </c>
    </row>
    <row r="48" spans="1:6">
      <c r="A48" s="348" t="s">
        <v>32</v>
      </c>
      <c r="B48" s="348" t="s">
        <v>29</v>
      </c>
      <c r="C48" s="334">
        <v>40</v>
      </c>
      <c r="D48" s="334">
        <v>34561362.306359902</v>
      </c>
      <c r="E48" s="334">
        <v>53</v>
      </c>
      <c r="F48" s="334">
        <v>11511012.729284599</v>
      </c>
    </row>
    <row r="49" spans="1:6">
      <c r="A49" s="348" t="s">
        <v>32</v>
      </c>
      <c r="B49" s="348" t="s">
        <v>40</v>
      </c>
      <c r="C49" s="334">
        <v>4</v>
      </c>
      <c r="D49" s="334">
        <v>102281.24352341999</v>
      </c>
      <c r="E49" s="334">
        <v>5</v>
      </c>
      <c r="F49" s="334">
        <v>43964.471065213802</v>
      </c>
    </row>
    <row r="50" spans="1:6">
      <c r="A50" s="348" t="s">
        <v>32</v>
      </c>
      <c r="B50" s="348" t="s">
        <v>41</v>
      </c>
      <c r="C50" s="334">
        <v>21</v>
      </c>
      <c r="D50" s="334">
        <v>97413503.891642705</v>
      </c>
      <c r="E50" s="334">
        <v>31</v>
      </c>
      <c r="F50" s="334">
        <v>37230676.682199597</v>
      </c>
    </row>
    <row r="51" spans="1:6">
      <c r="A51" s="348" t="s">
        <v>42</v>
      </c>
      <c r="B51" s="348" t="s">
        <v>43</v>
      </c>
      <c r="C51" s="334">
        <v>4</v>
      </c>
      <c r="D51" s="334">
        <v>144570.657828606</v>
      </c>
      <c r="E51" s="334">
        <v>13</v>
      </c>
      <c r="F51" s="334">
        <v>264897.58918258798</v>
      </c>
    </row>
    <row r="52" spans="1:6">
      <c r="A52" s="348" t="s">
        <v>42</v>
      </c>
      <c r="B52" s="348" t="s">
        <v>29</v>
      </c>
      <c r="C52" s="334">
        <v>6</v>
      </c>
      <c r="D52" s="334">
        <v>649741.69140639203</v>
      </c>
      <c r="E52" s="334">
        <v>5</v>
      </c>
      <c r="F52" s="334">
        <v>33349.8272494919</v>
      </c>
    </row>
    <row r="53" spans="1:6">
      <c r="A53" s="348" t="s">
        <v>44</v>
      </c>
      <c r="B53" s="348" t="s">
        <v>45</v>
      </c>
      <c r="C53" s="334">
        <v>258</v>
      </c>
      <c r="D53" s="334">
        <v>8418043.3894780092</v>
      </c>
      <c r="E53" s="334">
        <v>559</v>
      </c>
      <c r="F53" s="334">
        <v>2681941.90950729</v>
      </c>
    </row>
    <row r="54" spans="1:6">
      <c r="A54" s="348" t="s">
        <v>46</v>
      </c>
      <c r="B54" s="348" t="s">
        <v>47</v>
      </c>
      <c r="C54" s="334">
        <v>0</v>
      </c>
      <c r="D54" s="334">
        <v>0</v>
      </c>
      <c r="E54" s="334">
        <v>1</v>
      </c>
      <c r="F54" s="334">
        <v>1884704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65</v>
      </c>
      <c r="D57" s="334">
        <v>3195664.9811078301</v>
      </c>
      <c r="E57" s="334">
        <v>114</v>
      </c>
      <c r="F57" s="334">
        <v>2208421.6416823901</v>
      </c>
    </row>
    <row r="58" spans="1:6">
      <c r="A58" s="348" t="s">
        <v>49</v>
      </c>
      <c r="B58" s="348" t="s">
        <v>51</v>
      </c>
      <c r="C58" s="334">
        <v>73</v>
      </c>
      <c r="D58" s="334">
        <v>3448806.6883165799</v>
      </c>
      <c r="E58" s="334">
        <v>104</v>
      </c>
      <c r="F58" s="334">
        <v>1459644.077997</v>
      </c>
    </row>
    <row r="59" spans="1:6">
      <c r="A59" s="348" t="s">
        <v>49</v>
      </c>
      <c r="B59" s="348" t="s">
        <v>52</v>
      </c>
      <c r="C59" s="334">
        <v>255</v>
      </c>
      <c r="D59" s="334">
        <v>16131481.750907199</v>
      </c>
      <c r="E59" s="334">
        <v>438</v>
      </c>
      <c r="F59" s="334">
        <v>20562080.399219699</v>
      </c>
    </row>
    <row r="60" spans="1:6">
      <c r="A60" s="348" t="s">
        <v>49</v>
      </c>
      <c r="B60" s="348" t="s">
        <v>53</v>
      </c>
      <c r="C60" s="334">
        <v>100</v>
      </c>
      <c r="D60" s="334">
        <v>5488655.4897739096</v>
      </c>
      <c r="E60" s="334">
        <v>119</v>
      </c>
      <c r="F60" s="334">
        <v>3341583.5058524101</v>
      </c>
    </row>
    <row r="61" spans="1:6">
      <c r="A61" s="348" t="s">
        <v>49</v>
      </c>
      <c r="B61" s="348" t="s">
        <v>54</v>
      </c>
      <c r="C61" s="334">
        <v>491</v>
      </c>
      <c r="D61" s="334">
        <v>28277472.955047399</v>
      </c>
      <c r="E61" s="334">
        <v>879</v>
      </c>
      <c r="F61" s="334">
        <v>13518173.544899501</v>
      </c>
    </row>
    <row r="62" spans="1:6">
      <c r="A62" s="348" t="s">
        <v>49</v>
      </c>
      <c r="B62" s="348" t="s">
        <v>55</v>
      </c>
      <c r="C62" s="334">
        <v>21</v>
      </c>
      <c r="D62" s="334">
        <v>4310360.4045206197</v>
      </c>
      <c r="E62" s="334">
        <v>22</v>
      </c>
      <c r="F62" s="334">
        <v>721213.25782200205</v>
      </c>
    </row>
    <row r="63" spans="1:6">
      <c r="A63" s="348" t="s">
        <v>49</v>
      </c>
      <c r="B63" s="348" t="s">
        <v>29</v>
      </c>
      <c r="C63" s="334">
        <v>117</v>
      </c>
      <c r="D63" s="334">
        <v>7003263.6153174397</v>
      </c>
      <c r="E63" s="334">
        <v>98</v>
      </c>
      <c r="F63" s="334">
        <v>3264469.5793554201</v>
      </c>
    </row>
    <row r="64" spans="1:6">
      <c r="A64" s="348" t="s">
        <v>56</v>
      </c>
      <c r="B64" s="348" t="s">
        <v>57</v>
      </c>
      <c r="C64" s="334">
        <v>0</v>
      </c>
      <c r="D64" s="334">
        <v>0</v>
      </c>
      <c r="E64" s="334">
        <v>0</v>
      </c>
      <c r="F64" s="334">
        <v>0</v>
      </c>
    </row>
    <row r="65" spans="1:6">
      <c r="A65" s="348" t="s">
        <v>56</v>
      </c>
      <c r="B65" s="348" t="s">
        <v>29</v>
      </c>
      <c r="C65" s="334">
        <v>4</v>
      </c>
      <c r="D65" s="334">
        <v>174896.96358309599</v>
      </c>
      <c r="E65" s="334">
        <v>5</v>
      </c>
      <c r="F65" s="334">
        <v>18488.607165916099</v>
      </c>
    </row>
    <row r="66" spans="1:6">
      <c r="A66" s="348" t="s">
        <v>56</v>
      </c>
      <c r="B66" s="348" t="s">
        <v>58</v>
      </c>
      <c r="C66" s="334">
        <v>3</v>
      </c>
      <c r="D66" s="334">
        <v>133565.754866467</v>
      </c>
      <c r="E66" s="334">
        <v>26</v>
      </c>
      <c r="F66" s="334">
        <v>525707.369311961</v>
      </c>
    </row>
    <row r="67" spans="1:6">
      <c r="A67" s="355" t="s">
        <v>56</v>
      </c>
      <c r="B67" s="355" t="s">
        <v>59</v>
      </c>
      <c r="C67" s="334">
        <v>0</v>
      </c>
      <c r="D67" s="334">
        <v>0</v>
      </c>
      <c r="E67" s="334">
        <v>0</v>
      </c>
      <c r="F67" s="334">
        <v>0</v>
      </c>
    </row>
    <row r="68" spans="1:6">
      <c r="A68" s="341" t="s">
        <v>56</v>
      </c>
      <c r="B68" s="341" t="s">
        <v>60</v>
      </c>
      <c r="C68" s="334">
        <v>3</v>
      </c>
      <c r="D68" s="334">
        <v>99984.138640688194</v>
      </c>
      <c r="E68" s="334">
        <v>6</v>
      </c>
      <c r="F68" s="334">
        <v>29175.829918285399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85279636</v>
      </c>
      <c r="E73" s="476">
        <v>86594704.001701012</v>
      </c>
    </row>
    <row r="74" spans="1:6">
      <c r="A74" s="348" t="s">
        <v>64</v>
      </c>
      <c r="B74" s="348" t="s">
        <v>657</v>
      </c>
      <c r="C74" s="1213" t="s">
        <v>659</v>
      </c>
      <c r="D74" s="476">
        <v>3279280.4462325419</v>
      </c>
      <c r="E74" s="476">
        <v>3211945.8598309797</v>
      </c>
    </row>
    <row r="75" spans="1:6">
      <c r="A75" s="348" t="s">
        <v>65</v>
      </c>
      <c r="B75" s="348" t="s">
        <v>656</v>
      </c>
      <c r="C75" s="1213" t="s">
        <v>660</v>
      </c>
      <c r="D75" s="476">
        <v>43270414</v>
      </c>
      <c r="E75" s="476">
        <v>44033672.237008922</v>
      </c>
    </row>
    <row r="76" spans="1:6">
      <c r="A76" s="348" t="s">
        <v>65</v>
      </c>
      <c r="B76" s="348" t="s">
        <v>657</v>
      </c>
      <c r="C76" s="1213" t="s">
        <v>661</v>
      </c>
      <c r="D76" s="476">
        <v>1174226.4462325419</v>
      </c>
      <c r="E76" s="476">
        <v>1182522.6348281824</v>
      </c>
    </row>
    <row r="77" spans="1:6">
      <c r="A77" s="348" t="s">
        <v>66</v>
      </c>
      <c r="B77" s="348" t="s">
        <v>656</v>
      </c>
      <c r="C77" s="1213" t="s">
        <v>662</v>
      </c>
      <c r="D77" s="476">
        <v>191986634</v>
      </c>
      <c r="E77" s="476">
        <v>216426922.43343356</v>
      </c>
    </row>
    <row r="78" spans="1:6">
      <c r="A78" s="341" t="s">
        <v>66</v>
      </c>
      <c r="B78" s="341" t="s">
        <v>657</v>
      </c>
      <c r="C78" s="341" t="s">
        <v>663</v>
      </c>
      <c r="D78" s="1214">
        <v>41291926</v>
      </c>
      <c r="E78" s="1214">
        <v>44143305.118506521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1030257.1075349163</v>
      </c>
      <c r="C83" s="476">
        <v>1034791.5137245726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2994.2010530645025</v>
      </c>
    </row>
    <row r="92" spans="1:6">
      <c r="A92" s="341" t="s">
        <v>69</v>
      </c>
      <c r="B92" s="342">
        <v>986.6389687805106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26</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160801.6144225811</v>
      </c>
      <c r="C3" s="43" t="s">
        <v>170</v>
      </c>
      <c r="D3" s="43"/>
      <c r="E3" s="154"/>
      <c r="F3" s="43"/>
      <c r="G3" s="43"/>
      <c r="H3" s="43"/>
      <c r="I3" s="43"/>
      <c r="J3" s="43"/>
      <c r="K3" s="96"/>
    </row>
    <row r="4" spans="1:11">
      <c r="A4" s="383" t="s">
        <v>171</v>
      </c>
      <c r="B4" s="49">
        <f>IF(ISERROR('SEAP template'!B69),0,'SEAP template'!B69)</f>
        <v>3985.0900218450133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0.95388888888888879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0.2155289665834641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1.3663813813813812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6.0878378378378377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0.22444444444444442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1884.704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1884.704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0.2155289665834641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406.20830543572112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55448.025342171299</v>
      </c>
      <c r="C5" s="17">
        <f>IF(ISERROR('Eigen informatie GS &amp; warmtenet'!B57),0,'Eigen informatie GS &amp; warmtenet'!B57)</f>
        <v>0</v>
      </c>
      <c r="D5" s="30">
        <f>(SUM(HH_hh_gas_kWh,HH_rest_gas_kWh)/1000)*0.902</f>
        <v>185166.85716245641</v>
      </c>
      <c r="E5" s="17">
        <f>B46*B57</f>
        <v>2046.7002754491987</v>
      </c>
      <c r="F5" s="17">
        <f>B51*B62</f>
        <v>0</v>
      </c>
      <c r="G5" s="18"/>
      <c r="H5" s="17"/>
      <c r="I5" s="17"/>
      <c r="J5" s="17">
        <f>B50*B61+C50*C61</f>
        <v>0</v>
      </c>
      <c r="K5" s="17"/>
      <c r="L5" s="17"/>
      <c r="M5" s="17"/>
      <c r="N5" s="17">
        <f>B48*B59+C48*C59</f>
        <v>11770.385788622807</v>
      </c>
      <c r="O5" s="17">
        <f>B69*B70*B71</f>
        <v>273.58333333333331</v>
      </c>
      <c r="P5" s="17">
        <f>B77*B78*B79/1000-B77*B78*B79/1000/B80</f>
        <v>572</v>
      </c>
    </row>
    <row r="6" spans="1:16">
      <c r="A6" s="16" t="s">
        <v>621</v>
      </c>
      <c r="B6" s="843">
        <f>kWh_PV_kleiner_dan_10kW</f>
        <v>2994.2010530645025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58442.226395235804</v>
      </c>
      <c r="C8" s="21">
        <f>C5</f>
        <v>0</v>
      </c>
      <c r="D8" s="21">
        <f>D5</f>
        <v>185166.85716245641</v>
      </c>
      <c r="E8" s="21">
        <f>E5</f>
        <v>2046.7002754491987</v>
      </c>
      <c r="F8" s="21">
        <f>F5</f>
        <v>0</v>
      </c>
      <c r="G8" s="21"/>
      <c r="H8" s="21"/>
      <c r="I8" s="21"/>
      <c r="J8" s="21">
        <f>J5</f>
        <v>0</v>
      </c>
      <c r="K8" s="21"/>
      <c r="L8" s="21">
        <f>L5</f>
        <v>0</v>
      </c>
      <c r="M8" s="21">
        <f>M5</f>
        <v>0</v>
      </c>
      <c r="N8" s="21">
        <f>N5</f>
        <v>11770.385788622807</v>
      </c>
      <c r="O8" s="21">
        <f>O5</f>
        <v>273.58333333333331</v>
      </c>
      <c r="P8" s="21">
        <f>P5</f>
        <v>572</v>
      </c>
    </row>
    <row r="9" spans="1:16">
      <c r="B9" s="19"/>
      <c r="C9" s="19"/>
      <c r="D9" s="258"/>
      <c r="E9" s="19"/>
      <c r="F9" s="19"/>
      <c r="G9" s="19"/>
      <c r="H9" s="19"/>
      <c r="I9" s="19"/>
      <c r="J9" s="19"/>
      <c r="K9" s="19"/>
      <c r="L9" s="19"/>
      <c r="M9" s="19"/>
      <c r="N9" s="19"/>
      <c r="O9" s="19"/>
      <c r="P9" s="19"/>
    </row>
    <row r="10" spans="1:16">
      <c r="A10" s="24" t="s">
        <v>214</v>
      </c>
      <c r="B10" s="25">
        <f ca="1">'EF ele_warmte'!B12</f>
        <v>0.2155289665834641</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12595.992659802021</v>
      </c>
      <c r="C12" s="23">
        <f ca="1">C10*C8</f>
        <v>0</v>
      </c>
      <c r="D12" s="23">
        <f>D8*D10</f>
        <v>37403.705146816195</v>
      </c>
      <c r="E12" s="23">
        <f>E10*E8</f>
        <v>464.60096252696809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14327</v>
      </c>
      <c r="C28" s="36"/>
      <c r="D28" s="228"/>
    </row>
    <row r="29" spans="1:7" s="15" customFormat="1">
      <c r="A29" s="230" t="s">
        <v>795</v>
      </c>
      <c r="B29" s="37">
        <f>SUM(HH_hh_gas_aantal,HH_rest_gas_aantal)</f>
        <v>11675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11675</v>
      </c>
      <c r="C32" s="167">
        <f>IF(ISERROR(B32/SUM($B$32,$B$34,$B$35,$B$36,$B$38,$B$39)*100),0,B32/SUM($B$32,$B$34,$B$35,$B$36,$B$38,$B$39)*100)</f>
        <v>81.660488214310689</v>
      </c>
      <c r="D32" s="233"/>
      <c r="G32" s="15"/>
    </row>
    <row r="33" spans="1:7">
      <c r="A33" s="171" t="s">
        <v>72</v>
      </c>
      <c r="B33" s="34" t="s">
        <v>111</v>
      </c>
      <c r="C33" s="167"/>
      <c r="D33" s="233"/>
      <c r="G33" s="15"/>
    </row>
    <row r="34" spans="1:7">
      <c r="A34" s="171" t="s">
        <v>73</v>
      </c>
      <c r="B34" s="33">
        <f>IF((($B$28-$B$32-$B$39-$B$77-$B$38)*C20/100)&lt;0,0,($B$28-$B$32-$B$39-$B$77-$B$38)*C20/100)</f>
        <v>96.663594470046078</v>
      </c>
      <c r="C34" s="167">
        <f>IF(ISERROR(B34/SUM($B$32,$B$34,$B$35,$B$36,$B$38,$B$39)*100),0,B34/SUM($B$32,$B$34,$B$35,$B$36,$B$38,$B$39)*100)</f>
        <v>0.67611103357379931</v>
      </c>
      <c r="D34" s="233"/>
      <c r="G34" s="15"/>
    </row>
    <row r="35" spans="1:7">
      <c r="A35" s="171" t="s">
        <v>74</v>
      </c>
      <c r="B35" s="33">
        <f>IF((($B$28-$B$32-$B$39-$B$77-$B$38)*C21/100)&lt;0,0,($B$28-$B$32-$B$39-$B$77-$B$38)*C21/100)</f>
        <v>2362.2165898617513</v>
      </c>
      <c r="C35" s="167">
        <f>IF(ISERROR(B35/SUM($B$32,$B$34,$B$35,$B$36,$B$38,$B$39)*100),0,B35/SUM($B$32,$B$34,$B$35,$B$36,$B$38,$B$39)*100)</f>
        <v>16.522463382959721</v>
      </c>
      <c r="D35" s="233"/>
      <c r="G35" s="15"/>
    </row>
    <row r="36" spans="1:7">
      <c r="A36" s="171" t="s">
        <v>75</v>
      </c>
      <c r="B36" s="33">
        <f>IF((($B$28-$B$32-$B$39-$B$77-$B$38)*C22/100)&lt;0,0,($B$28-$B$32-$B$39-$B$77-$B$38)*C22/100)</f>
        <v>163.11981566820276</v>
      </c>
      <c r="C36" s="167">
        <f>IF(ISERROR(B36/SUM($B$32,$B$34,$B$35,$B$36,$B$38,$B$39)*100),0,B36/SUM($B$32,$B$34,$B$35,$B$36,$B$38,$B$39)*100)</f>
        <v>1.1409373691557863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11675</v>
      </c>
      <c r="C44" s="34" t="s">
        <v>111</v>
      </c>
      <c r="D44" s="174"/>
    </row>
    <row r="45" spans="1:7">
      <c r="A45" s="171" t="s">
        <v>72</v>
      </c>
      <c r="B45" s="33" t="str">
        <f t="shared" si="0"/>
        <v>-</v>
      </c>
      <c r="C45" s="34" t="s">
        <v>111</v>
      </c>
      <c r="D45" s="174"/>
    </row>
    <row r="46" spans="1:7">
      <c r="A46" s="171" t="s">
        <v>73</v>
      </c>
      <c r="B46" s="33">
        <f t="shared" si="0"/>
        <v>96.663594470046078</v>
      </c>
      <c r="C46" s="34" t="s">
        <v>111</v>
      </c>
      <c r="D46" s="174"/>
    </row>
    <row r="47" spans="1:7">
      <c r="A47" s="171" t="s">
        <v>74</v>
      </c>
      <c r="B47" s="33">
        <f t="shared" si="0"/>
        <v>2362.2165898617513</v>
      </c>
      <c r="C47" s="34" t="s">
        <v>111</v>
      </c>
      <c r="D47" s="174"/>
    </row>
    <row r="48" spans="1:7">
      <c r="A48" s="171" t="s">
        <v>75</v>
      </c>
      <c r="B48" s="33">
        <f t="shared" si="0"/>
        <v>163.11981566820276</v>
      </c>
      <c r="C48" s="33">
        <f>B48*10</f>
        <v>1631.1981566820277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45075.586006828431</v>
      </c>
      <c r="C5" s="17">
        <f>IF(ISERROR('Eigen informatie GS &amp; warmtenet'!B58),0,'Eigen informatie GS &amp; warmtenet'!B58)</f>
        <v>0</v>
      </c>
      <c r="D5" s="30">
        <f>SUM(D6:D12)</f>
        <v>61205.846708261859</v>
      </c>
      <c r="E5" s="17">
        <f>SUM(E6:E12)</f>
        <v>847.8635870051794</v>
      </c>
      <c r="F5" s="17">
        <f>SUM(F6:F12)</f>
        <v>7900.5546711466468</v>
      </c>
      <c r="G5" s="18"/>
      <c r="H5" s="17"/>
      <c r="I5" s="17"/>
      <c r="J5" s="17">
        <f>SUM(J6:J12)</f>
        <v>5.5841172537374667E-2</v>
      </c>
      <c r="K5" s="17"/>
      <c r="L5" s="17"/>
      <c r="M5" s="17"/>
      <c r="N5" s="17">
        <f>SUM(N6:N12)</f>
        <v>2258.4177822414713</v>
      </c>
      <c r="O5" s="17">
        <f>B38*B39*B40</f>
        <v>1.5633333333333335</v>
      </c>
      <c r="P5" s="17">
        <f>B46*B47*B48/1000-B46*B47*B48/1000/B49</f>
        <v>0</v>
      </c>
      <c r="R5" s="32"/>
    </row>
    <row r="6" spans="1:18">
      <c r="A6" s="32" t="s">
        <v>54</v>
      </c>
      <c r="B6" s="37">
        <f>B26</f>
        <v>13518.1735448995</v>
      </c>
      <c r="C6" s="33"/>
      <c r="D6" s="37">
        <f>IF(ISERROR(TER_kantoor_gas_kWh/1000),0,TER_kantoor_gas_kWh/1000)*0.902</f>
        <v>25506.280605452757</v>
      </c>
      <c r="E6" s="33">
        <f>$C$26*'E Balans VL '!I12/100/3.6*1000000</f>
        <v>8.4727415705346365E-2</v>
      </c>
      <c r="F6" s="33">
        <f>$C$26*('E Balans VL '!L12+'E Balans VL '!N12)/100/3.6*1000000</f>
        <v>2031.4037500036575</v>
      </c>
      <c r="G6" s="34"/>
      <c r="H6" s="33"/>
      <c r="I6" s="33"/>
      <c r="J6" s="33">
        <f>$C$26*('E Balans VL '!D12+'E Balans VL '!E12)/100/3.6*1000000</f>
        <v>0</v>
      </c>
      <c r="K6" s="33"/>
      <c r="L6" s="33"/>
      <c r="M6" s="33"/>
      <c r="N6" s="33">
        <f>$C$26*'E Balans VL '!Y12/100/3.6*1000000</f>
        <v>12.928128706509298</v>
      </c>
      <c r="O6" s="33"/>
      <c r="P6" s="33"/>
      <c r="R6" s="32"/>
    </row>
    <row r="7" spans="1:18">
      <c r="A7" s="32" t="s">
        <v>53</v>
      </c>
      <c r="B7" s="37">
        <f t="shared" ref="B7:B12" si="0">B27</f>
        <v>3341.5835058524103</v>
      </c>
      <c r="C7" s="33"/>
      <c r="D7" s="37">
        <f>IF(ISERROR(TER_horeca_gas_kWh/1000),0,TER_horeca_gas_kWh/1000)*0.902</f>
        <v>4950.7672517760666</v>
      </c>
      <c r="E7" s="33">
        <f>$C$27*'E Balans VL '!I9/100/3.6*1000000</f>
        <v>47.850919202248626</v>
      </c>
      <c r="F7" s="33">
        <f>$C$27*('E Balans VL '!L9+'E Balans VL '!N9)/100/3.6*1000000</f>
        <v>423.154681510861</v>
      </c>
      <c r="G7" s="34"/>
      <c r="H7" s="33"/>
      <c r="I7" s="33"/>
      <c r="J7" s="33">
        <f>$C$27*('E Balans VL '!D9+'E Balans VL '!E9)/100/3.6*1000000</f>
        <v>0</v>
      </c>
      <c r="K7" s="33"/>
      <c r="L7" s="33"/>
      <c r="M7" s="33"/>
      <c r="N7" s="33">
        <f>$C$27*'E Balans VL '!Y9/100/3.6*1000000</f>
        <v>0.96063158234055213</v>
      </c>
      <c r="O7" s="33"/>
      <c r="P7" s="33"/>
      <c r="R7" s="32"/>
    </row>
    <row r="8" spans="1:18">
      <c r="A8" s="6" t="s">
        <v>52</v>
      </c>
      <c r="B8" s="37">
        <f t="shared" si="0"/>
        <v>20562.0803992197</v>
      </c>
      <c r="C8" s="33"/>
      <c r="D8" s="37">
        <f>IF(ISERROR(TER_handel_gas_kWh/1000),0,TER_handel_gas_kWh/1000)*0.902</f>
        <v>14550.596539318294</v>
      </c>
      <c r="E8" s="33">
        <f>$C$28*'E Balans VL '!I13/100/3.6*1000000</f>
        <v>745.7841204775425</v>
      </c>
      <c r="F8" s="33">
        <f>$C$28*('E Balans VL '!L13+'E Balans VL '!N13)/100/3.6*1000000</f>
        <v>3960.4648891909719</v>
      </c>
      <c r="G8" s="34"/>
      <c r="H8" s="33"/>
      <c r="I8" s="33"/>
      <c r="J8" s="33">
        <f>$C$28*('E Balans VL '!D13+'E Balans VL '!E13)/100/3.6*1000000</f>
        <v>0</v>
      </c>
      <c r="K8" s="33"/>
      <c r="L8" s="33"/>
      <c r="M8" s="33"/>
      <c r="N8" s="33">
        <f>$C$28*'E Balans VL '!Y13/100/3.6*1000000</f>
        <v>28.483212476617354</v>
      </c>
      <c r="O8" s="33"/>
      <c r="P8" s="33"/>
      <c r="R8" s="32"/>
    </row>
    <row r="9" spans="1:18">
      <c r="A9" s="32" t="s">
        <v>51</v>
      </c>
      <c r="B9" s="37">
        <f t="shared" si="0"/>
        <v>1459.6440779970001</v>
      </c>
      <c r="C9" s="33"/>
      <c r="D9" s="37">
        <f>IF(ISERROR(TER_gezond_gas_kWh/1000),0,TER_gezond_gas_kWh/1000)*0.902</f>
        <v>3110.8236328615549</v>
      </c>
      <c r="E9" s="33">
        <f>$C$29*'E Balans VL '!I10/100/3.6*1000000</f>
        <v>9.1388130664315767E-2</v>
      </c>
      <c r="F9" s="33">
        <f>$C$29*('E Balans VL '!L10+'E Balans VL '!N10)/100/3.6*1000000</f>
        <v>216.83457197942928</v>
      </c>
      <c r="G9" s="34"/>
      <c r="H9" s="33"/>
      <c r="I9" s="33"/>
      <c r="J9" s="33">
        <f>$C$29*('E Balans VL '!D10+'E Balans VL '!E10)/100/3.6*1000000</f>
        <v>0</v>
      </c>
      <c r="K9" s="33"/>
      <c r="L9" s="33"/>
      <c r="M9" s="33"/>
      <c r="N9" s="33">
        <f>$C$29*'E Balans VL '!Y10/100/3.6*1000000</f>
        <v>22.577915442071788</v>
      </c>
      <c r="O9" s="33"/>
      <c r="P9" s="33"/>
      <c r="R9" s="32"/>
    </row>
    <row r="10" spans="1:18">
      <c r="A10" s="32" t="s">
        <v>50</v>
      </c>
      <c r="B10" s="37">
        <f t="shared" si="0"/>
        <v>2208.4216416823901</v>
      </c>
      <c r="C10" s="33"/>
      <c r="D10" s="37">
        <f>IF(ISERROR(TER_ander_gas_kWh/1000),0,TER_ander_gas_kWh/1000)*0.902</f>
        <v>2882.489812959263</v>
      </c>
      <c r="E10" s="33">
        <f>$C$30*'E Balans VL '!I14/100/3.6*1000000</f>
        <v>2.6323596812303376</v>
      </c>
      <c r="F10" s="33">
        <f>$C$30*('E Balans VL '!L14+'E Balans VL '!N14)/100/3.6*1000000</f>
        <v>577.82128017903756</v>
      </c>
      <c r="G10" s="34"/>
      <c r="H10" s="33"/>
      <c r="I10" s="33"/>
      <c r="J10" s="33">
        <f>$C$30*('E Balans VL '!D14+'E Balans VL '!E14)/100/3.6*1000000</f>
        <v>4.7936177067119778E-2</v>
      </c>
      <c r="K10" s="33"/>
      <c r="L10" s="33"/>
      <c r="M10" s="33"/>
      <c r="N10" s="33">
        <f>$C$30*'E Balans VL '!Y14/100/3.6*1000000</f>
        <v>1875.3376187997712</v>
      </c>
      <c r="O10" s="33"/>
      <c r="P10" s="33"/>
      <c r="R10" s="32"/>
    </row>
    <row r="11" spans="1:18">
      <c r="A11" s="32" t="s">
        <v>55</v>
      </c>
      <c r="B11" s="37">
        <f t="shared" si="0"/>
        <v>721.21325782200211</v>
      </c>
      <c r="C11" s="33"/>
      <c r="D11" s="37">
        <f>IF(ISERROR(TER_onderwijs_gas_kWh/1000),0,TER_onderwijs_gas_kWh/1000)*0.902</f>
        <v>3887.9450848775987</v>
      </c>
      <c r="E11" s="33">
        <f>$C$31*'E Balans VL '!I11/100/3.6*1000000</f>
        <v>10.881946436123782</v>
      </c>
      <c r="F11" s="33">
        <f>$C$31*('E Balans VL '!L11+'E Balans VL '!N11)/100/3.6*1000000</f>
        <v>126.36808449497595</v>
      </c>
      <c r="G11" s="34"/>
      <c r="H11" s="33"/>
      <c r="I11" s="33"/>
      <c r="J11" s="33">
        <f>$C$31*('E Balans VL '!D11+'E Balans VL '!E11)/100/3.6*1000000</f>
        <v>0</v>
      </c>
      <c r="K11" s="33"/>
      <c r="L11" s="33"/>
      <c r="M11" s="33"/>
      <c r="N11" s="33">
        <f>$C$31*'E Balans VL '!Y11/100/3.6*1000000</f>
        <v>2.0295489362309542</v>
      </c>
      <c r="O11" s="33"/>
      <c r="P11" s="33"/>
      <c r="R11" s="32"/>
    </row>
    <row r="12" spans="1:18">
      <c r="A12" s="32" t="s">
        <v>260</v>
      </c>
      <c r="B12" s="37">
        <f t="shared" si="0"/>
        <v>3264.4695793554201</v>
      </c>
      <c r="C12" s="33"/>
      <c r="D12" s="37">
        <f>IF(ISERROR(TER_rest_gas_kWh/1000),0,TER_rest_gas_kWh/1000)*0.902</f>
        <v>6316.9437810163308</v>
      </c>
      <c r="E12" s="33">
        <f>$C$32*'E Balans VL '!I8/100/3.6*1000000</f>
        <v>40.538125661664466</v>
      </c>
      <c r="F12" s="33">
        <f>$C$32*('E Balans VL '!L8+'E Balans VL '!N8)/100/3.6*1000000</f>
        <v>564.50741378771318</v>
      </c>
      <c r="G12" s="34"/>
      <c r="H12" s="33"/>
      <c r="I12" s="33"/>
      <c r="J12" s="33">
        <f>$C$32*('E Balans VL '!D8+'E Balans VL '!E8)/100/3.6*1000000</f>
        <v>7.9049954702548851E-3</v>
      </c>
      <c r="K12" s="33"/>
      <c r="L12" s="33"/>
      <c r="M12" s="33"/>
      <c r="N12" s="33">
        <f>$C$32*'E Balans VL '!Y8/100/3.6*1000000</f>
        <v>316.10072629792995</v>
      </c>
      <c r="O12" s="33"/>
      <c r="P12" s="33"/>
      <c r="R12" s="32"/>
    </row>
    <row r="13" spans="1:18">
      <c r="A13" s="16" t="s">
        <v>488</v>
      </c>
      <c r="B13" s="247">
        <f ca="1">'lokale energieproductie'!N90+'lokale energieproductie'!N59</f>
        <v>4.25</v>
      </c>
      <c r="C13" s="247">
        <f ca="1">'lokale energieproductie'!O90+'lokale energieproductie'!O59</f>
        <v>6.0878378378378377</v>
      </c>
      <c r="D13" s="310">
        <f ca="1">('lokale energieproductie'!P59+'lokale energieproductie'!P90)*(-1)</f>
        <v>-11.486486486486486</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45079.836006828431</v>
      </c>
      <c r="C16" s="21">
        <f t="shared" ca="1" si="1"/>
        <v>6.0878378378378377</v>
      </c>
      <c r="D16" s="21">
        <f t="shared" ca="1" si="1"/>
        <v>61194.360221775372</v>
      </c>
      <c r="E16" s="21">
        <f t="shared" si="1"/>
        <v>847.8635870051794</v>
      </c>
      <c r="F16" s="21">
        <f t="shared" ca="1" si="1"/>
        <v>7900.5546711466468</v>
      </c>
      <c r="G16" s="21">
        <f t="shared" si="1"/>
        <v>0</v>
      </c>
      <c r="H16" s="21">
        <f t="shared" si="1"/>
        <v>0</v>
      </c>
      <c r="I16" s="21">
        <f t="shared" si="1"/>
        <v>0</v>
      </c>
      <c r="J16" s="21">
        <f t="shared" si="1"/>
        <v>5.5841172537374667E-2</v>
      </c>
      <c r="K16" s="21">
        <f t="shared" si="1"/>
        <v>0</v>
      </c>
      <c r="L16" s="21">
        <f t="shared" ca="1" si="1"/>
        <v>0</v>
      </c>
      <c r="M16" s="21">
        <f t="shared" si="1"/>
        <v>0</v>
      </c>
      <c r="N16" s="21">
        <f t="shared" ca="1" si="1"/>
        <v>2258.4177822414713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0.2155289665834641</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9716.0104683037662</v>
      </c>
      <c r="C20" s="23">
        <f t="shared" ref="C20:P20" ca="1" si="2">C16*C18</f>
        <v>1.3663813813813812</v>
      </c>
      <c r="D20" s="23">
        <f t="shared" ca="1" si="2"/>
        <v>12361.260764798626</v>
      </c>
      <c r="E20" s="23">
        <f t="shared" si="2"/>
        <v>192.46503425017573</v>
      </c>
      <c r="F20" s="23">
        <f t="shared" ca="1" si="2"/>
        <v>2109.4480971961548</v>
      </c>
      <c r="G20" s="23">
        <f t="shared" si="2"/>
        <v>0</v>
      </c>
      <c r="H20" s="23">
        <f t="shared" si="2"/>
        <v>0</v>
      </c>
      <c r="I20" s="23">
        <f t="shared" si="2"/>
        <v>0</v>
      </c>
      <c r="J20" s="23">
        <f t="shared" si="2"/>
        <v>1.9767775078230632E-2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13518.1735448995</v>
      </c>
      <c r="C26" s="39">
        <f>IF(ISERROR(B26*3.6/1000000/'E Balans VL '!Z12*100),0,B26*3.6/1000000/'E Balans VL '!Z12*100)</f>
        <v>0.28575277422252127</v>
      </c>
      <c r="D26" s="237" t="s">
        <v>754</v>
      </c>
      <c r="F26" s="6"/>
    </row>
    <row r="27" spans="1:18">
      <c r="A27" s="231" t="s">
        <v>53</v>
      </c>
      <c r="B27" s="33">
        <f>IF(ISERROR(TER_horeca_ele_kWh/1000),0,TER_horeca_ele_kWh/1000)</f>
        <v>3341.5835058524103</v>
      </c>
      <c r="C27" s="39">
        <f>IF(ISERROR(B27*3.6/1000000/'E Balans VL '!Z9*100),0,B27*3.6/1000000/'E Balans VL '!Z9*100)</f>
        <v>0.26341578229458928</v>
      </c>
      <c r="D27" s="237" t="s">
        <v>754</v>
      </c>
      <c r="F27" s="6"/>
    </row>
    <row r="28" spans="1:18">
      <c r="A28" s="171" t="s">
        <v>52</v>
      </c>
      <c r="B28" s="33">
        <f>IF(ISERROR(TER_handel_ele_kWh/1000),0,TER_handel_ele_kWh/1000)</f>
        <v>20562.0803992197</v>
      </c>
      <c r="C28" s="39">
        <f>IF(ISERROR(B28*3.6/1000000/'E Balans VL '!Z13*100),0,B28*3.6/1000000/'E Balans VL '!Z13*100)</f>
        <v>0.59679465329980252</v>
      </c>
      <c r="D28" s="237" t="s">
        <v>754</v>
      </c>
      <c r="F28" s="6"/>
    </row>
    <row r="29" spans="1:18">
      <c r="A29" s="231" t="s">
        <v>51</v>
      </c>
      <c r="B29" s="33">
        <f>IF(ISERROR(TER_gezond_ele_kWh/1000),0,TER_gezond_ele_kWh/1000)</f>
        <v>1459.6440779970001</v>
      </c>
      <c r="C29" s="39">
        <f>IF(ISERROR(B29*3.6/1000000/'E Balans VL '!Z10*100),0,B29*3.6/1000000/'E Balans VL '!Z10*100)</f>
        <v>0.15372448940150707</v>
      </c>
      <c r="D29" s="237" t="s">
        <v>754</v>
      </c>
      <c r="F29" s="6"/>
    </row>
    <row r="30" spans="1:18">
      <c r="A30" s="231" t="s">
        <v>50</v>
      </c>
      <c r="B30" s="33">
        <f>IF(ISERROR(TER_ander_ele_kWh/1000),0,TER_ander_ele_kWh/1000)</f>
        <v>2208.4216416823901</v>
      </c>
      <c r="C30" s="39">
        <f>IF(ISERROR(B30*3.6/1000000/'E Balans VL '!Z14*100),0,B30*3.6/1000000/'E Balans VL '!Z14*100)</f>
        <v>0.16289365995728763</v>
      </c>
      <c r="D30" s="237" t="s">
        <v>754</v>
      </c>
      <c r="F30" s="6"/>
    </row>
    <row r="31" spans="1:18">
      <c r="A31" s="231" t="s">
        <v>55</v>
      </c>
      <c r="B31" s="33">
        <f>IF(ISERROR(TER_onderwijs_ele_kWh/1000),0,TER_onderwijs_ele_kWh/1000)</f>
        <v>721.21325782200211</v>
      </c>
      <c r="C31" s="39">
        <f>IF(ISERROR(B31*3.6/1000000/'E Balans VL '!Z11*100),0,B31*3.6/1000000/'E Balans VL '!Z11*100)</f>
        <v>0.17911103553578642</v>
      </c>
      <c r="D31" s="237" t="s">
        <v>754</v>
      </c>
    </row>
    <row r="32" spans="1:18">
      <c r="A32" s="231" t="s">
        <v>260</v>
      </c>
      <c r="B32" s="33">
        <f>IF(ISERROR(TER_rest_ele_kWh/1000),0,TER_rest_ele_kWh/1000)</f>
        <v>3264.4695793554201</v>
      </c>
      <c r="C32" s="39">
        <f>IF(ISERROR(B32*3.6/1000000/'E Balans VL '!Z8*100),0,B32*3.6/1000000/'E Balans VL '!Z8*100)</f>
        <v>2.6862251495203923E-2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54970.500410510263</v>
      </c>
      <c r="C5" s="17">
        <f>IF(ISERROR('Eigen informatie GS &amp; warmtenet'!B59),0,'Eigen informatie GS &amp; warmtenet'!B59)</f>
        <v>0</v>
      </c>
      <c r="D5" s="30">
        <f>SUM(D6:D15)</f>
        <v>134731.04068620491</v>
      </c>
      <c r="E5" s="17">
        <f>SUM(E6:E15)</f>
        <v>2236.9840066265856</v>
      </c>
      <c r="F5" s="17">
        <f>SUM(F6:F15)</f>
        <v>8892.6430963856565</v>
      </c>
      <c r="G5" s="18"/>
      <c r="H5" s="17"/>
      <c r="I5" s="17"/>
      <c r="J5" s="17">
        <f>SUM(J6:J15)</f>
        <v>41.250470580071294</v>
      </c>
      <c r="K5" s="17"/>
      <c r="L5" s="17"/>
      <c r="M5" s="17"/>
      <c r="N5" s="17">
        <f>SUM(N6:N15)</f>
        <v>7652.6821666990309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734.08214241726</v>
      </c>
      <c r="C8" s="33"/>
      <c r="D8" s="37">
        <f>IF( ISERROR(IND_metaal_Gas_kWH/1000),0,IND_metaal_Gas_kWH/1000)*0.902</f>
        <v>196.454798639518</v>
      </c>
      <c r="E8" s="33">
        <f>C30*'E Balans VL '!I18/100/3.6*1000000</f>
        <v>6.7491763162511083</v>
      </c>
      <c r="F8" s="33">
        <f>C30*'E Balans VL '!L18/100/3.6*1000000+C30*'E Balans VL '!N18/100/3.6*1000000</f>
        <v>68.832464890282139</v>
      </c>
      <c r="G8" s="34"/>
      <c r="H8" s="33"/>
      <c r="I8" s="33"/>
      <c r="J8" s="40">
        <f>C30*'E Balans VL '!D18/100/3.6*1000000+C30*'E Balans VL '!E18/100/3.6*1000000</f>
        <v>0</v>
      </c>
      <c r="K8" s="33"/>
      <c r="L8" s="33"/>
      <c r="M8" s="33"/>
      <c r="N8" s="33">
        <f>C30*'E Balans VL '!Y18/100/3.6*1000000</f>
        <v>10.47289488340839</v>
      </c>
      <c r="O8" s="33"/>
      <c r="P8" s="33"/>
      <c r="R8" s="32"/>
    </row>
    <row r="9" spans="1:18">
      <c r="A9" s="6" t="s">
        <v>33</v>
      </c>
      <c r="B9" s="37">
        <f t="shared" si="0"/>
        <v>5183.9593842652494</v>
      </c>
      <c r="C9" s="33"/>
      <c r="D9" s="37">
        <f>IF( ISERROR(IND_andere_gas_kWh/1000),0,IND_andere_gas_kWh/1000)*0.902</f>
        <v>14503.055185929055</v>
      </c>
      <c r="E9" s="33">
        <f>C31*'E Balans VL '!I19/100/3.6*1000000</f>
        <v>1515.372247806524</v>
      </c>
      <c r="F9" s="33">
        <f>C31*'E Balans VL '!L19/100/3.6*1000000+C31*'E Balans VL '!N19/100/3.6*1000000</f>
        <v>4165.7037549274301</v>
      </c>
      <c r="G9" s="34"/>
      <c r="H9" s="33"/>
      <c r="I9" s="33"/>
      <c r="J9" s="40">
        <f>C31*'E Balans VL '!D19/100/3.6*1000000+C31*'E Balans VL '!E19/100/3.6*1000000</f>
        <v>0</v>
      </c>
      <c r="K9" s="33"/>
      <c r="L9" s="33"/>
      <c r="M9" s="33"/>
      <c r="N9" s="33">
        <f>C31*'E Balans VL '!Y19/100/3.6*1000000</f>
        <v>1712.8605780711002</v>
      </c>
      <c r="O9" s="33"/>
      <c r="P9" s="33"/>
      <c r="R9" s="32"/>
    </row>
    <row r="10" spans="1:18">
      <c r="A10" s="6" t="s">
        <v>41</v>
      </c>
      <c r="B10" s="37">
        <f t="shared" si="0"/>
        <v>37230.676682199599</v>
      </c>
      <c r="C10" s="33"/>
      <c r="D10" s="37">
        <f>IF( ISERROR(IND_voed_gas_kWh/1000),0,IND_voed_gas_kWh/1000)*0.902</f>
        <v>87866.980510261725</v>
      </c>
      <c r="E10" s="33">
        <f>C32*'E Balans VL '!I20/100/3.6*1000000</f>
        <v>78.762073789672314</v>
      </c>
      <c r="F10" s="33">
        <f>C32*'E Balans VL '!L20/100/3.6*1000000+C32*'E Balans VL '!N20/100/3.6*1000000</f>
        <v>2367.1644534752686</v>
      </c>
      <c r="G10" s="34"/>
      <c r="H10" s="33"/>
      <c r="I10" s="33"/>
      <c r="J10" s="40">
        <f>C32*'E Balans VL '!D20/100/3.6*1000000+C32*'E Balans VL '!E20/100/3.6*1000000</f>
        <v>0</v>
      </c>
      <c r="K10" s="33"/>
      <c r="L10" s="33"/>
      <c r="M10" s="33"/>
      <c r="N10" s="33">
        <f>C32*'E Balans VL '!Y20/100/3.6*1000000</f>
        <v>2569.2840923665694</v>
      </c>
      <c r="O10" s="33"/>
      <c r="P10" s="33"/>
      <c r="R10" s="32"/>
    </row>
    <row r="11" spans="1:18">
      <c r="A11" s="6" t="s">
        <v>40</v>
      </c>
      <c r="B11" s="37">
        <f t="shared" si="0"/>
        <v>43.9644710652138</v>
      </c>
      <c r="C11" s="33"/>
      <c r="D11" s="37">
        <f>IF( ISERROR(IND_textiel_gas_kWh/1000),0,IND_textiel_gas_kWh/1000)*0.902</f>
        <v>92.257681658124838</v>
      </c>
      <c r="E11" s="33">
        <f>C33*'E Balans VL '!I21/100/3.6*1000000</f>
        <v>0.13057068859759022</v>
      </c>
      <c r="F11" s="33">
        <f>C33*'E Balans VL '!L21/100/3.6*1000000+C33*'E Balans VL '!N21/100/3.6*1000000</f>
        <v>4.4416185833020432</v>
      </c>
      <c r="G11" s="34"/>
      <c r="H11" s="33"/>
      <c r="I11" s="33"/>
      <c r="J11" s="40">
        <f>C33*'E Balans VL '!D21/100/3.6*1000000+C33*'E Balans VL '!E21/100/3.6*1000000</f>
        <v>0</v>
      </c>
      <c r="K11" s="33"/>
      <c r="L11" s="33"/>
      <c r="M11" s="33"/>
      <c r="N11" s="33">
        <f>C33*'E Balans VL '!Y21/100/3.6*1000000</f>
        <v>2.4247808854481798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266.80500127834597</v>
      </c>
      <c r="C13" s="33"/>
      <c r="D13" s="37">
        <f>IF( ISERROR(IND_papier_gas_kWh/1000),0,IND_papier_gas_kWh/1000)*0.902</f>
        <v>247.88865930828678</v>
      </c>
      <c r="E13" s="33">
        <f>C35*'E Balans VL '!I23/100/3.6*1000000</f>
        <v>0.37853527898386075</v>
      </c>
      <c r="F13" s="33">
        <f>C35*'E Balans VL '!L23/100/3.6*1000000+C35*'E Balans VL '!N23/100/3.6*1000000</f>
        <v>6.5137133326932792</v>
      </c>
      <c r="G13" s="34"/>
      <c r="H13" s="33"/>
      <c r="I13" s="33"/>
      <c r="J13" s="40">
        <f>C35*'E Balans VL '!D23/100/3.6*1000000+C35*'E Balans VL '!E23/100/3.6*1000000</f>
        <v>4.1263898365691533E-2</v>
      </c>
      <c r="K13" s="33"/>
      <c r="L13" s="33"/>
      <c r="M13" s="33"/>
      <c r="N13" s="33">
        <f>C35*'E Balans VL '!Y23/100/3.6*1000000</f>
        <v>775.53898163430654</v>
      </c>
      <c r="O13" s="33"/>
      <c r="P13" s="33"/>
      <c r="R13" s="32"/>
    </row>
    <row r="14" spans="1:18">
      <c r="A14" s="6" t="s">
        <v>34</v>
      </c>
      <c r="B14" s="37">
        <f t="shared" si="0"/>
        <v>0</v>
      </c>
      <c r="C14" s="33"/>
      <c r="D14" s="37">
        <f>IF( ISERROR(IND_chemie_gas_kWh/1000),0,IND_chemie_gas_kWh/1000)*0.902</f>
        <v>650.05505007156955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11511.012729284599</v>
      </c>
      <c r="C15" s="33"/>
      <c r="D15" s="37">
        <f>IF( ISERROR(IND_rest_gas_kWh/1000),0,IND_rest_gas_kWh/1000)*0.902</f>
        <v>31174.348800336633</v>
      </c>
      <c r="E15" s="33">
        <f>C37*'E Balans VL '!I15/100/3.6*1000000</f>
        <v>635.5914027465567</v>
      </c>
      <c r="F15" s="33">
        <f>C37*'E Balans VL '!L15/100/3.6*1000000+C37*'E Balans VL '!N15/100/3.6*1000000</f>
        <v>2279.9870911766807</v>
      </c>
      <c r="G15" s="34"/>
      <c r="H15" s="33"/>
      <c r="I15" s="33"/>
      <c r="J15" s="40">
        <f>C37*'E Balans VL '!D15/100/3.6*1000000+C37*'E Balans VL '!E15/100/3.6*1000000</f>
        <v>41.209206681705602</v>
      </c>
      <c r="K15" s="33"/>
      <c r="L15" s="33"/>
      <c r="M15" s="33"/>
      <c r="N15" s="33">
        <f>C37*'E Balans VL '!Y15/100/3.6*1000000</f>
        <v>2582.1008388581986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54970.500410510263</v>
      </c>
      <c r="C18" s="21">
        <f>C5+C16</f>
        <v>0</v>
      </c>
      <c r="D18" s="21">
        <f>MAX((D5+D16),0)</f>
        <v>134731.04068620491</v>
      </c>
      <c r="E18" s="21">
        <f>MAX((E5+E16),0)</f>
        <v>2236.9840066265856</v>
      </c>
      <c r="F18" s="21">
        <f>MAX((F5+F16),0)</f>
        <v>8892.6430963856565</v>
      </c>
      <c r="G18" s="21"/>
      <c r="H18" s="21"/>
      <c r="I18" s="21"/>
      <c r="J18" s="21">
        <f>MAX((J5+J16),0)</f>
        <v>41.250470580071294</v>
      </c>
      <c r="K18" s="21"/>
      <c r="L18" s="21">
        <f>MAX((L5+L16),0)</f>
        <v>0</v>
      </c>
      <c r="M18" s="21"/>
      <c r="N18" s="21">
        <f>MAX((N5+N16),0)</f>
        <v>7652.6821666990309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0.2155289665834641</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11847.735146053166</v>
      </c>
      <c r="C22" s="23">
        <f ca="1">C18*C20</f>
        <v>0</v>
      </c>
      <c r="D22" s="23">
        <f>D18*D20</f>
        <v>27215.670218613395</v>
      </c>
      <c r="E22" s="23">
        <f>E18*E20</f>
        <v>507.79536950423494</v>
      </c>
      <c r="F22" s="23">
        <f>F18*F20</f>
        <v>2374.3357067349702</v>
      </c>
      <c r="G22" s="23"/>
      <c r="H22" s="23"/>
      <c r="I22" s="23"/>
      <c r="J22" s="23">
        <f>J18*J20</f>
        <v>14.602666585345238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734.08214241726</v>
      </c>
      <c r="C30" s="39">
        <f>IF(ISERROR(B30*3.6/1000000/'E Balans VL '!Z18*100),0,B30*3.6/1000000/'E Balans VL '!Z18*100)</f>
        <v>4.160231732051145E-2</v>
      </c>
      <c r="D30" s="237" t="s">
        <v>754</v>
      </c>
    </row>
    <row r="31" spans="1:18">
      <c r="A31" s="6" t="s">
        <v>33</v>
      </c>
      <c r="B31" s="37">
        <f>IF( ISERROR(IND_ander_ele_kWh/1000),0,IND_ander_ele_kWh/1000)</f>
        <v>5183.9593842652494</v>
      </c>
      <c r="C31" s="39">
        <f>IF(ISERROR(B31*3.6/1000000/'E Balans VL '!Z19*100),0,B31*3.6/1000000/'E Balans VL '!Z19*100)</f>
        <v>0.23512281203908694</v>
      </c>
      <c r="D31" s="237" t="s">
        <v>754</v>
      </c>
    </row>
    <row r="32" spans="1:18">
      <c r="A32" s="171" t="s">
        <v>41</v>
      </c>
      <c r="B32" s="37">
        <f>IF( ISERROR(IND_voed_ele_kWh/1000),0,IND_voed_ele_kWh/1000)</f>
        <v>37230.676682199599</v>
      </c>
      <c r="C32" s="39">
        <f>IF(ISERROR(B32*3.6/1000000/'E Balans VL '!Z20*100),0,B32*3.6/1000000/'E Balans VL '!Z20*100)</f>
        <v>1.1517138427818747</v>
      </c>
      <c r="D32" s="237" t="s">
        <v>754</v>
      </c>
    </row>
    <row r="33" spans="1:5">
      <c r="A33" s="171" t="s">
        <v>40</v>
      </c>
      <c r="B33" s="37">
        <f>IF( ISERROR(IND_textiel_ele_kWh/1000),0,IND_textiel_ele_kWh/1000)</f>
        <v>43.9644710652138</v>
      </c>
      <c r="C33" s="39">
        <f>IF(ISERROR(B33*3.6/1000000/'E Balans VL '!Z21*100),0,B33*3.6/1000000/'E Balans VL '!Z21*100)</f>
        <v>5.7324783369238292E-3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266.80500127834597</v>
      </c>
      <c r="C35" s="39">
        <f>IF(ISERROR(B35*3.6/1000000/'E Balans VL '!Z22*100),0,B35*3.6/1000000/'E Balans VL '!Z22*100)</f>
        <v>4.7989895509803898E-2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11511.012729284599</v>
      </c>
      <c r="C37" s="39">
        <f>IF(ISERROR(B37*3.6/1000000/'E Balans VL '!Z15*100),0,B37*3.6/1000000/'E Balans VL '!Z15*100)</f>
        <v>9.1238912747696216E-2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298.24741643207983</v>
      </c>
      <c r="C5" s="17">
        <f>'Eigen informatie GS &amp; warmtenet'!B60</f>
        <v>0</v>
      </c>
      <c r="D5" s="30">
        <f>IF(ISERROR(SUM(LB_lb_gas_kWh,LB_rest_gas_kWh,onbekend_gas_kWh)/1000),0,SUM(LB_lb_gas_kWh,LB_rest_gas_kWh,onbekend_gas_kWh)/1000)*0.902</f>
        <v>8309.5448763191325</v>
      </c>
      <c r="E5" s="17">
        <f>B17*'E Balans VL '!I25/3.6*1000000/100</f>
        <v>8.7664025216921431</v>
      </c>
      <c r="F5" s="17">
        <f>B17*('E Balans VL '!L25/3.6*1000000+'E Balans VL '!N25/3.6*1000000)/100</f>
        <v>1242.4826204115755</v>
      </c>
      <c r="G5" s="18"/>
      <c r="H5" s="17"/>
      <c r="I5" s="17"/>
      <c r="J5" s="17">
        <f>('E Balans VL '!D25+'E Balans VL '!E25)/3.6*1000000*landbouw!B17/100</f>
        <v>43.209645704423913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298.24741643207983</v>
      </c>
      <c r="C8" s="21">
        <f>C5+C6</f>
        <v>0</v>
      </c>
      <c r="D8" s="21">
        <f>MAX((D5+D6),0)</f>
        <v>8309.5448763191325</v>
      </c>
      <c r="E8" s="21">
        <f>MAX((E5+E6),0)</f>
        <v>8.7664025216921431</v>
      </c>
      <c r="F8" s="21">
        <f>MAX((F5+F6),0)</f>
        <v>1242.4826204115755</v>
      </c>
      <c r="G8" s="21"/>
      <c r="H8" s="21"/>
      <c r="I8" s="21"/>
      <c r="J8" s="21">
        <f>MAX((J5+J6),0)</f>
        <v>43.209645704423913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0.2155289665834641</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64.280957449794229</v>
      </c>
      <c r="C12" s="23">
        <f ca="1">C8*C10</f>
        <v>0</v>
      </c>
      <c r="D12" s="23">
        <f>D8*D10</f>
        <v>1678.5280650164648</v>
      </c>
      <c r="E12" s="23">
        <f>E8*E10</f>
        <v>1.9899733724241166</v>
      </c>
      <c r="F12" s="23">
        <f>F8*F10</f>
        <v>331.74285964989065</v>
      </c>
      <c r="G12" s="23"/>
      <c r="H12" s="23"/>
      <c r="I12" s="23"/>
      <c r="J12" s="23">
        <f>J8*J10</f>
        <v>15.296214579366064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4.232224411444456E-2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7.7964633222332829</v>
      </c>
      <c r="C26" s="247">
        <f>B26*'GWP N2O_CH4'!B5</f>
        <v>163.72572976689895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0.42995210327738309</v>
      </c>
      <c r="C27" s="247">
        <f>B27*'GWP N2O_CH4'!B5</f>
        <v>9.0289941688250455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0.10850242219036631</v>
      </c>
      <c r="C28" s="247">
        <f>B28*'GWP N2O_CH4'!B4</f>
        <v>33.635750879013557</v>
      </c>
      <c r="D28" s="50"/>
    </row>
    <row r="29" spans="1:4">
      <c r="A29" s="41" t="s">
        <v>277</v>
      </c>
      <c r="B29" s="247">
        <f>B34*'ha_N2O bodem landbouw'!B4</f>
        <v>1.1035884941069651</v>
      </c>
      <c r="C29" s="247">
        <f>B29*'GWP N2O_CH4'!B4</f>
        <v>342.11243317315922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2.5183509122006839E-4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4.539606968682686E-4</v>
      </c>
      <c r="C5" s="463" t="s">
        <v>211</v>
      </c>
      <c r="D5" s="448">
        <f>SUM(D6:D11)</f>
        <v>1.5421781613593E-3</v>
      </c>
      <c r="E5" s="448">
        <f>SUM(E6:E11)</f>
        <v>2.3598245175867811E-3</v>
      </c>
      <c r="F5" s="461" t="s">
        <v>211</v>
      </c>
      <c r="G5" s="448">
        <f>SUM(G6:G11)</f>
        <v>0.97633820513553315</v>
      </c>
      <c r="H5" s="448">
        <f>SUM(H6:H11)</f>
        <v>0.17850506137924438</v>
      </c>
      <c r="I5" s="463" t="s">
        <v>211</v>
      </c>
      <c r="J5" s="463" t="s">
        <v>211</v>
      </c>
      <c r="K5" s="463" t="s">
        <v>211</v>
      </c>
      <c r="L5" s="463" t="s">
        <v>211</v>
      </c>
      <c r="M5" s="448">
        <f>SUM(M6:M11)</f>
        <v>6.2341415360665592E-2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1.2077744894631869E-4</v>
      </c>
      <c r="C6" s="449"/>
      <c r="D6" s="962">
        <f>vkm_2011_GW_PW*SUMIFS(TableVerdeelsleutelVkm[CNG],TableVerdeelsleutelVkm[Voertuigtype],"Lichte voertuigen")*SUMIFS(TableECFTransport[EnergieConsumptieFactor (PJ per km)],TableECFTransport[Index],CONCATENATE($A6,"_CNG_CNG"))</f>
        <v>3.6226302688867199E-4</v>
      </c>
      <c r="E6" s="962">
        <f>vkm_2011_GW_PW*SUMIFS(TableVerdeelsleutelVkm[LPG],TableVerdeelsleutelVkm[Voertuigtype],"Lichte voertuigen")*SUMIFS(TableECFTransport[EnergieConsumptieFactor (PJ per km)],TableECFTransport[Index],CONCATENATE($A6,"_LPG_LPG"))</f>
        <v>4.9490333124926141E-4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0.12795931473974195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4.1196044207552046E-2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8.6986552031709432E-3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3.0772928679402397E-2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9.3773229125298048E-6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1.7982677704958699E-3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6.1281807274260336E-5</v>
      </c>
      <c r="C8" s="449"/>
      <c r="D8" s="451">
        <f>vkm_2011_NGW_PW*SUMIFS(TableVerdeelsleutelVkm[CNG],TableVerdeelsleutelVkm[Voertuigtype],"Lichte voertuigen")*SUMIFS(TableECFTransport[EnergieConsumptieFactor (PJ per km)],TableECFTransport[Index],CONCATENATE($A8,"_CNG_CNG"))</f>
        <v>3.2681668230118491E-4</v>
      </c>
      <c r="E8" s="451">
        <f>vkm_2011_NGW_PW*SUMIFS(TableVerdeelsleutelVkm[LPG],TableVerdeelsleutelVkm[Voertuigtype],"Lichte voertuigen")*SUMIFS(TableECFTransport[EnergieConsumptieFactor (PJ per km)],TableECFTransport[Index],CONCATENATE($A8,"_LPG_LPG"))</f>
        <v>4.1348978511833456E-4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9.9628345563654408E-2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3.6116371512840903E-2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6.8926287077399583E-3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1.4129041535379836E-2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4.0532481648855791E-6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8.2564678772570593E-4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2.7190144064768957E-4</v>
      </c>
      <c r="C10" s="449"/>
      <c r="D10" s="451">
        <f>vkm_2011_SW_PW*SUMIFS(TableVerdeelsleutelVkm[CNG],TableVerdeelsleutelVkm[Voertuigtype],"Lichte voertuigen")*SUMIFS(TableECFTransport[EnergieConsumptieFactor (PJ per km)],TableECFTransport[Index],CONCATENATE($A10,"_CNG_CNG"))</f>
        <v>8.5309845216944311E-4</v>
      </c>
      <c r="E10" s="451">
        <f>vkm_2011_SW_PW*SUMIFS(TableVerdeelsleutelVkm[LPG],TableVerdeelsleutelVkm[Voertuigtype],"Lichte voertuigen")*SUMIFS(TableECFTransport[EnergieConsumptieFactor (PJ per km)],TableECFTransport[Index],CONCATENATE($A10,"_LPG_LPG"))</f>
        <v>1.451431401219185E-3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0.33455822648564604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0.1010576923556071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2.2545848433839655E-2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0.36929034813170852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1.2152273216691059E-4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2.1580368457693459E-2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126.10019357451905</v>
      </c>
      <c r="C14" s="21"/>
      <c r="D14" s="21">
        <f t="shared" ref="D14:M14" si="0">((D5)*10^9/3600)+D12</f>
        <v>428.38282259980554</v>
      </c>
      <c r="E14" s="21">
        <f t="shared" si="0"/>
        <v>655.5068104407726</v>
      </c>
      <c r="F14" s="21"/>
      <c r="G14" s="21">
        <f t="shared" si="0"/>
        <v>271205.05698209256</v>
      </c>
      <c r="H14" s="21">
        <f t="shared" si="0"/>
        <v>49584.739272012332</v>
      </c>
      <c r="I14" s="21"/>
      <c r="J14" s="21"/>
      <c r="K14" s="21"/>
      <c r="L14" s="21"/>
      <c r="M14" s="21">
        <f t="shared" si="0"/>
        <v>17317.059822407107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0.2155289665834641</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27.178244407090872</v>
      </c>
      <c r="C18" s="23"/>
      <c r="D18" s="23">
        <f t="shared" ref="D18:M18" si="1">D14*D16</f>
        <v>86.53333016516072</v>
      </c>
      <c r="E18" s="23">
        <f t="shared" si="1"/>
        <v>148.80004597005538</v>
      </c>
      <c r="F18" s="23"/>
      <c r="G18" s="23">
        <f t="shared" si="1"/>
        <v>72411.750214218715</v>
      </c>
      <c r="H18" s="23">
        <f t="shared" si="1"/>
        <v>12346.600078731071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1.2940190855340882E-2</v>
      </c>
      <c r="H50" s="321">
        <f t="shared" si="2"/>
        <v>0</v>
      </c>
      <c r="I50" s="321">
        <f t="shared" si="2"/>
        <v>0</v>
      </c>
      <c r="J50" s="321">
        <f t="shared" si="2"/>
        <v>0</v>
      </c>
      <c r="K50" s="321">
        <f t="shared" si="2"/>
        <v>0</v>
      </c>
      <c r="L50" s="321">
        <f t="shared" si="2"/>
        <v>0</v>
      </c>
      <c r="M50" s="321">
        <f t="shared" si="2"/>
        <v>7.3494571512240029E-4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1.2940190855340882E-2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7.3494571512240029E-4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3594.4974598169115</v>
      </c>
      <c r="H54" s="21">
        <f t="shared" si="3"/>
        <v>0</v>
      </c>
      <c r="I54" s="21">
        <f t="shared" si="3"/>
        <v>0</v>
      </c>
      <c r="J54" s="21">
        <f t="shared" si="3"/>
        <v>0</v>
      </c>
      <c r="K54" s="21">
        <f t="shared" si="3"/>
        <v>0</v>
      </c>
      <c r="L54" s="21">
        <f t="shared" si="3"/>
        <v>0</v>
      </c>
      <c r="M54" s="21">
        <f t="shared" si="3"/>
        <v>204.1515875340001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0.2155289665834641</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959.73082177111542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3980.8400218450133</v>
      </c>
      <c r="C6" s="1204"/>
      <c r="D6" s="1189"/>
      <c r="E6" s="1189"/>
      <c r="F6" s="1207"/>
      <c r="G6" s="1210"/>
      <c r="H6" s="1201"/>
      <c r="I6" s="1189"/>
      <c r="J6" s="1189"/>
      <c r="K6" s="1189"/>
      <c r="L6" s="1193"/>
      <c r="M6" s="575"/>
      <c r="N6" s="1167"/>
      <c r="O6" s="1168"/>
      <c r="Q6" s="573"/>
      <c r="R6" s="1155"/>
      <c r="S6" s="1155"/>
    </row>
    <row r="7" spans="1:19" s="563" customFormat="1">
      <c r="A7" s="576" t="s">
        <v>252</v>
      </c>
      <c r="B7" s="577">
        <f>N57</f>
        <v>4.25</v>
      </c>
      <c r="C7" s="578">
        <f>B100</f>
        <v>4.7222222222222214</v>
      </c>
      <c r="D7" s="579"/>
      <c r="E7" s="579">
        <f>E100</f>
        <v>0</v>
      </c>
      <c r="F7" s="580"/>
      <c r="G7" s="581"/>
      <c r="H7" s="579">
        <f>I100</f>
        <v>0</v>
      </c>
      <c r="I7" s="579">
        <f>G100+F100</f>
        <v>0</v>
      </c>
      <c r="J7" s="579">
        <f>H100+D100+C100</f>
        <v>0</v>
      </c>
      <c r="K7" s="579"/>
      <c r="L7" s="582"/>
      <c r="M7" s="583">
        <f>C7*$C$11+D7*$D$11+E7*$E$11+F7*$F$11+G7*$G$11+H7*$H$11+I7*$I$11+J7*$J$11</f>
        <v>0.95388888888888879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3985.0900218450133</v>
      </c>
      <c r="C9" s="594">
        <f t="shared" ref="C9:L9" si="0">SUM(C7:C8)</f>
        <v>4.7222222222222214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0.95388888888888879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6.0878378378378377</v>
      </c>
      <c r="C16" s="610">
        <f>B101</f>
        <v>6.7642642642642627</v>
      </c>
      <c r="D16" s="611"/>
      <c r="E16" s="611">
        <f>E101</f>
        <v>0</v>
      </c>
      <c r="F16" s="612"/>
      <c r="G16" s="613"/>
      <c r="H16" s="610">
        <f>I101</f>
        <v>0</v>
      </c>
      <c r="I16" s="611">
        <f>G101+F101</f>
        <v>0</v>
      </c>
      <c r="J16" s="611">
        <f>H101+D101+C101</f>
        <v>0</v>
      </c>
      <c r="K16" s="611"/>
      <c r="L16" s="614"/>
      <c r="M16" s="615">
        <f>C16*$C$21+E16*$E$21+H16*$H$21+I16*$I$21+J16*$J$21+D16*$D$21+F16*$F$21+G16*$G$21+K16*$K$21+L16*$L$21</f>
        <v>1.3663813813813812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6.0878378378378377</v>
      </c>
      <c r="C19" s="593">
        <f>SUM(C16:C18)</f>
        <v>6.7642642642642627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1.3663813813813812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11040</v>
      </c>
      <c r="C27" s="851">
        <v>2900</v>
      </c>
      <c r="D27" s="672" t="s">
        <v>809</v>
      </c>
      <c r="E27" s="671" t="s">
        <v>810</v>
      </c>
      <c r="F27" s="671" t="s">
        <v>811</v>
      </c>
      <c r="G27" s="671" t="s">
        <v>812</v>
      </c>
      <c r="H27" s="671" t="s">
        <v>812</v>
      </c>
      <c r="I27" s="671" t="s">
        <v>810</v>
      </c>
      <c r="J27" s="850">
        <v>42256</v>
      </c>
      <c r="K27" s="850">
        <v>42256</v>
      </c>
      <c r="L27" s="671" t="s">
        <v>813</v>
      </c>
      <c r="M27" s="671">
        <v>3.4</v>
      </c>
      <c r="N27" s="671">
        <v>4.25</v>
      </c>
      <c r="O27" s="671">
        <v>6.0878378378378377</v>
      </c>
      <c r="P27" s="671">
        <v>11.486486486486486</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3.4</v>
      </c>
      <c r="N57" s="629">
        <f>SUM(N27:N56)</f>
        <v>4.25</v>
      </c>
      <c r="O57" s="629">
        <f t="shared" ref="O57:W57" si="2">SUM(O27:O56)</f>
        <v>6.0878378378378377</v>
      </c>
      <c r="P57" s="629">
        <f t="shared" si="2"/>
        <v>11.486486486486486</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3.4</v>
      </c>
      <c r="N59" s="629">
        <f ca="1">SUMIF($Z$27:AB56,"tertiair",N27:N56)</f>
        <v>4.25</v>
      </c>
      <c r="O59" s="629">
        <f ca="1">SUMIF($Z$27:AC56,"tertiair",O27:O56)</f>
        <v>6.0878378378378377</v>
      </c>
      <c r="P59" s="629">
        <f ca="1">SUMIF($Z$27:AD56,"tertiair",P27:P56)</f>
        <v>11.486486486486486</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0.5888888888888888</v>
      </c>
      <c r="C97" s="654">
        <f>IF(ISERROR(N57/(O57+N57)),0,N57/(N57+O57))</f>
        <v>0.41111111111111109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4.7222222222222214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6.7642642642642627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46964.540006828429</v>
      </c>
      <c r="D10" s="718">
        <f ca="1">tertiair!C16</f>
        <v>6.0878378378378377</v>
      </c>
      <c r="E10" s="718">
        <f ca="1">tertiair!D16</f>
        <v>61194.360221775372</v>
      </c>
      <c r="F10" s="718">
        <f>tertiair!E16</f>
        <v>847.8635870051794</v>
      </c>
      <c r="G10" s="718">
        <f ca="1">tertiair!F16</f>
        <v>7900.5546711466468</v>
      </c>
      <c r="H10" s="718">
        <f>tertiair!G16</f>
        <v>0</v>
      </c>
      <c r="I10" s="718">
        <f>tertiair!H16</f>
        <v>0</v>
      </c>
      <c r="J10" s="718">
        <f>tertiair!I16</f>
        <v>0</v>
      </c>
      <c r="K10" s="718">
        <f>tertiair!J16</f>
        <v>5.5841172537374667E-2</v>
      </c>
      <c r="L10" s="718">
        <f>tertiair!K16</f>
        <v>0</v>
      </c>
      <c r="M10" s="718">
        <f ca="1">tertiair!L16</f>
        <v>0</v>
      </c>
      <c r="N10" s="718">
        <f>tertiair!M16</f>
        <v>0</v>
      </c>
      <c r="O10" s="718">
        <f ca="1">tertiair!N16</f>
        <v>2258.4177822414713</v>
      </c>
      <c r="P10" s="718">
        <f>tertiair!O16</f>
        <v>1.5633333333333335</v>
      </c>
      <c r="Q10" s="719">
        <f>tertiair!P16</f>
        <v>0</v>
      </c>
      <c r="R10" s="721">
        <f ca="1">SUM(C10:Q10)</f>
        <v>119173.44328134081</v>
      </c>
      <c r="S10" s="67"/>
    </row>
    <row r="11" spans="1:19" s="474" customFormat="1">
      <c r="A11" s="870" t="s">
        <v>225</v>
      </c>
      <c r="B11" s="875"/>
      <c r="C11" s="718">
        <f>huishoudens!B8</f>
        <v>58442.226395235804</v>
      </c>
      <c r="D11" s="718">
        <f>huishoudens!C8</f>
        <v>0</v>
      </c>
      <c r="E11" s="718">
        <f>huishoudens!D8</f>
        <v>185166.85716245641</v>
      </c>
      <c r="F11" s="718">
        <f>huishoudens!E8</f>
        <v>2046.7002754491987</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11770.385788622807</v>
      </c>
      <c r="P11" s="718">
        <f>huishoudens!O8</f>
        <v>273.58333333333331</v>
      </c>
      <c r="Q11" s="719">
        <f>huishoudens!P8</f>
        <v>572</v>
      </c>
      <c r="R11" s="721">
        <f>SUM(C11:Q11)</f>
        <v>258271.75295509756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54970.500410510263</v>
      </c>
      <c r="D13" s="718">
        <f>industrie!C18</f>
        <v>0</v>
      </c>
      <c r="E13" s="718">
        <f>industrie!D18</f>
        <v>134731.04068620491</v>
      </c>
      <c r="F13" s="718">
        <f>industrie!E18</f>
        <v>2236.9840066265856</v>
      </c>
      <c r="G13" s="718">
        <f>industrie!F18</f>
        <v>8892.6430963856565</v>
      </c>
      <c r="H13" s="718">
        <f>industrie!G18</f>
        <v>0</v>
      </c>
      <c r="I13" s="718">
        <f>industrie!H18</f>
        <v>0</v>
      </c>
      <c r="J13" s="718">
        <f>industrie!I18</f>
        <v>0</v>
      </c>
      <c r="K13" s="718">
        <f>industrie!J18</f>
        <v>41.250470580071294</v>
      </c>
      <c r="L13" s="718">
        <f>industrie!K18</f>
        <v>0</v>
      </c>
      <c r="M13" s="718">
        <f>industrie!L18</f>
        <v>0</v>
      </c>
      <c r="N13" s="718">
        <f>industrie!M18</f>
        <v>0</v>
      </c>
      <c r="O13" s="718">
        <f>industrie!N18</f>
        <v>7652.6821666990309</v>
      </c>
      <c r="P13" s="718">
        <f>industrie!O18</f>
        <v>0</v>
      </c>
      <c r="Q13" s="719">
        <f>industrie!P18</f>
        <v>0</v>
      </c>
      <c r="R13" s="721">
        <f>SUM(C13:Q13)</f>
        <v>208525.10083700652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160377.2668125745</v>
      </c>
      <c r="D15" s="723">
        <f t="shared" ref="D15:Q15" ca="1" si="0">SUM(D9:D14)</f>
        <v>6.0878378378378377</v>
      </c>
      <c r="E15" s="723">
        <f t="shared" ca="1" si="0"/>
        <v>381092.25807043666</v>
      </c>
      <c r="F15" s="723">
        <f t="shared" si="0"/>
        <v>5131.5478690809632</v>
      </c>
      <c r="G15" s="723">
        <f t="shared" ca="1" si="0"/>
        <v>16793.197767532303</v>
      </c>
      <c r="H15" s="723">
        <f t="shared" si="0"/>
        <v>0</v>
      </c>
      <c r="I15" s="723">
        <f t="shared" si="0"/>
        <v>0</v>
      </c>
      <c r="J15" s="723">
        <f t="shared" si="0"/>
        <v>0</v>
      </c>
      <c r="K15" s="723">
        <f t="shared" si="0"/>
        <v>41.306311752608671</v>
      </c>
      <c r="L15" s="723">
        <f t="shared" si="0"/>
        <v>0</v>
      </c>
      <c r="M15" s="723">
        <f t="shared" ca="1" si="0"/>
        <v>0</v>
      </c>
      <c r="N15" s="723">
        <f t="shared" si="0"/>
        <v>0</v>
      </c>
      <c r="O15" s="723">
        <f t="shared" ca="1" si="0"/>
        <v>21681.485737563307</v>
      </c>
      <c r="P15" s="723">
        <f t="shared" si="0"/>
        <v>275.14666666666665</v>
      </c>
      <c r="Q15" s="724">
        <f t="shared" si="0"/>
        <v>572</v>
      </c>
      <c r="R15" s="725">
        <f ca="1">SUM(R9:R14)</f>
        <v>585970.29707344482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3594.4974598169115</v>
      </c>
      <c r="I18" s="718">
        <f>transport!H54</f>
        <v>0</v>
      </c>
      <c r="J18" s="718">
        <f>transport!I54</f>
        <v>0</v>
      </c>
      <c r="K18" s="718">
        <f>transport!J54</f>
        <v>0</v>
      </c>
      <c r="L18" s="718">
        <f>transport!K54</f>
        <v>0</v>
      </c>
      <c r="M18" s="718">
        <f>transport!L54</f>
        <v>0</v>
      </c>
      <c r="N18" s="718">
        <f>transport!M54</f>
        <v>204.1515875340001</v>
      </c>
      <c r="O18" s="718">
        <f>transport!N54</f>
        <v>0</v>
      </c>
      <c r="P18" s="718">
        <f>transport!O54</f>
        <v>0</v>
      </c>
      <c r="Q18" s="719">
        <f>transport!P54</f>
        <v>0</v>
      </c>
      <c r="R18" s="721">
        <f>SUM(C18:Q18)</f>
        <v>3798.6490473509116</v>
      </c>
      <c r="S18" s="67"/>
    </row>
    <row r="19" spans="1:19" s="474" customFormat="1" ht="15" thickBot="1">
      <c r="A19" s="870" t="s">
        <v>307</v>
      </c>
      <c r="B19" s="875"/>
      <c r="C19" s="727">
        <f>transport!B14</f>
        <v>126.10019357451905</v>
      </c>
      <c r="D19" s="727">
        <f>transport!C14</f>
        <v>0</v>
      </c>
      <c r="E19" s="727">
        <f>transport!D14</f>
        <v>428.38282259980554</v>
      </c>
      <c r="F19" s="727">
        <f>transport!E14</f>
        <v>655.5068104407726</v>
      </c>
      <c r="G19" s="727">
        <f>transport!F14</f>
        <v>0</v>
      </c>
      <c r="H19" s="727">
        <f>transport!G14</f>
        <v>271205.05698209256</v>
      </c>
      <c r="I19" s="727">
        <f>transport!H14</f>
        <v>49584.739272012332</v>
      </c>
      <c r="J19" s="727">
        <f>transport!I14</f>
        <v>0</v>
      </c>
      <c r="K19" s="727">
        <f>transport!J14</f>
        <v>0</v>
      </c>
      <c r="L19" s="727">
        <f>transport!K14</f>
        <v>0</v>
      </c>
      <c r="M19" s="727">
        <f>transport!L14</f>
        <v>0</v>
      </c>
      <c r="N19" s="727">
        <f>transport!M14</f>
        <v>17317.059822407107</v>
      </c>
      <c r="O19" s="727">
        <f>transport!N14</f>
        <v>0</v>
      </c>
      <c r="P19" s="727">
        <f>transport!O14</f>
        <v>0</v>
      </c>
      <c r="Q19" s="728">
        <f>transport!P14</f>
        <v>0</v>
      </c>
      <c r="R19" s="729">
        <f>SUM(C19:Q19)</f>
        <v>339316.84590312705</v>
      </c>
      <c r="S19" s="67"/>
    </row>
    <row r="20" spans="1:19" s="474" customFormat="1" ht="15.75" thickBot="1">
      <c r="A20" s="730" t="s">
        <v>230</v>
      </c>
      <c r="B20" s="878"/>
      <c r="C20" s="873">
        <f>SUM(C17:C19)</f>
        <v>126.10019357451905</v>
      </c>
      <c r="D20" s="731">
        <f t="shared" ref="D20:R20" si="1">SUM(D17:D19)</f>
        <v>0</v>
      </c>
      <c r="E20" s="731">
        <f t="shared" si="1"/>
        <v>428.38282259980554</v>
      </c>
      <c r="F20" s="731">
        <f t="shared" si="1"/>
        <v>655.5068104407726</v>
      </c>
      <c r="G20" s="731">
        <f t="shared" si="1"/>
        <v>0</v>
      </c>
      <c r="H20" s="731">
        <f t="shared" si="1"/>
        <v>274799.55444190948</v>
      </c>
      <c r="I20" s="731">
        <f t="shared" si="1"/>
        <v>49584.739272012332</v>
      </c>
      <c r="J20" s="731">
        <f t="shared" si="1"/>
        <v>0</v>
      </c>
      <c r="K20" s="731">
        <f t="shared" si="1"/>
        <v>0</v>
      </c>
      <c r="L20" s="731">
        <f t="shared" si="1"/>
        <v>0</v>
      </c>
      <c r="M20" s="731">
        <f t="shared" si="1"/>
        <v>0</v>
      </c>
      <c r="N20" s="731">
        <f t="shared" si="1"/>
        <v>17521.211409941108</v>
      </c>
      <c r="O20" s="731">
        <f t="shared" si="1"/>
        <v>0</v>
      </c>
      <c r="P20" s="731">
        <f t="shared" si="1"/>
        <v>0</v>
      </c>
      <c r="Q20" s="732">
        <f t="shared" si="1"/>
        <v>0</v>
      </c>
      <c r="R20" s="733">
        <f t="shared" si="1"/>
        <v>343115.49495047797</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298.24741643207983</v>
      </c>
      <c r="D22" s="727">
        <f>+landbouw!C8</f>
        <v>0</v>
      </c>
      <c r="E22" s="727">
        <f>+landbouw!D8</f>
        <v>8309.5448763191325</v>
      </c>
      <c r="F22" s="727">
        <f>+landbouw!E8</f>
        <v>8.7664025216921431</v>
      </c>
      <c r="G22" s="727">
        <f>+landbouw!F8</f>
        <v>1242.4826204115755</v>
      </c>
      <c r="H22" s="727">
        <f>+landbouw!G8</f>
        <v>0</v>
      </c>
      <c r="I22" s="727">
        <f>+landbouw!H8</f>
        <v>0</v>
      </c>
      <c r="J22" s="727">
        <f>+landbouw!I8</f>
        <v>0</v>
      </c>
      <c r="K22" s="727">
        <f>+landbouw!J8</f>
        <v>43.209645704423913</v>
      </c>
      <c r="L22" s="727">
        <f>+landbouw!K8</f>
        <v>0</v>
      </c>
      <c r="M22" s="727">
        <f>+landbouw!L8</f>
        <v>0</v>
      </c>
      <c r="N22" s="727">
        <f>+landbouw!M8</f>
        <v>0</v>
      </c>
      <c r="O22" s="727">
        <f>+landbouw!N8</f>
        <v>0</v>
      </c>
      <c r="P22" s="727">
        <f>+landbouw!O8</f>
        <v>0</v>
      </c>
      <c r="Q22" s="728">
        <f>+landbouw!P8</f>
        <v>0</v>
      </c>
      <c r="R22" s="729">
        <f>SUM(C22:Q22)</f>
        <v>9902.2509613889051</v>
      </c>
      <c r="S22" s="67"/>
    </row>
    <row r="23" spans="1:19" s="474" customFormat="1" ht="17.25" thickTop="1" thickBot="1">
      <c r="A23" s="734" t="s">
        <v>116</v>
      </c>
      <c r="B23" s="864"/>
      <c r="C23" s="735">
        <f ca="1">C20+C15+C22</f>
        <v>160801.6144225811</v>
      </c>
      <c r="D23" s="735">
        <f t="shared" ref="D23:Q23" ca="1" si="2">D20+D15+D22</f>
        <v>6.0878378378378377</v>
      </c>
      <c r="E23" s="735">
        <f t="shared" ca="1" si="2"/>
        <v>389830.18576935556</v>
      </c>
      <c r="F23" s="735">
        <f t="shared" si="2"/>
        <v>5795.8210820434279</v>
      </c>
      <c r="G23" s="735">
        <f t="shared" ca="1" si="2"/>
        <v>18035.680387943878</v>
      </c>
      <c r="H23" s="735">
        <f t="shared" si="2"/>
        <v>274799.55444190948</v>
      </c>
      <c r="I23" s="735">
        <f t="shared" si="2"/>
        <v>49584.739272012332</v>
      </c>
      <c r="J23" s="735">
        <f t="shared" si="2"/>
        <v>0</v>
      </c>
      <c r="K23" s="735">
        <f t="shared" si="2"/>
        <v>84.515957457032584</v>
      </c>
      <c r="L23" s="735">
        <f t="shared" si="2"/>
        <v>0</v>
      </c>
      <c r="M23" s="735">
        <f t="shared" ca="1" si="2"/>
        <v>0</v>
      </c>
      <c r="N23" s="735">
        <f t="shared" si="2"/>
        <v>17521.211409941108</v>
      </c>
      <c r="O23" s="735">
        <f t="shared" ca="1" si="2"/>
        <v>21681.485737563307</v>
      </c>
      <c r="P23" s="735">
        <f t="shared" si="2"/>
        <v>275.14666666666665</v>
      </c>
      <c r="Q23" s="736">
        <f t="shared" si="2"/>
        <v>572</v>
      </c>
      <c r="R23" s="737">
        <f ca="1">R20+R15+R22</f>
        <v>938988.04298531171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10122.218773739487</v>
      </c>
      <c r="D36" s="718">
        <f ca="1">tertiair!C20</f>
        <v>1.3663813813813812</v>
      </c>
      <c r="E36" s="718">
        <f ca="1">tertiair!D20</f>
        <v>12361.260764798626</v>
      </c>
      <c r="F36" s="718">
        <f>tertiair!E20</f>
        <v>192.46503425017573</v>
      </c>
      <c r="G36" s="718">
        <f ca="1">tertiair!F20</f>
        <v>2109.4480971961548</v>
      </c>
      <c r="H36" s="718">
        <f>tertiair!G20</f>
        <v>0</v>
      </c>
      <c r="I36" s="718">
        <f>tertiair!H20</f>
        <v>0</v>
      </c>
      <c r="J36" s="718">
        <f>tertiair!I20</f>
        <v>0</v>
      </c>
      <c r="K36" s="718">
        <f>tertiair!J20</f>
        <v>1.9767775078230632E-2</v>
      </c>
      <c r="L36" s="718">
        <f>tertiair!K20</f>
        <v>0</v>
      </c>
      <c r="M36" s="718">
        <f ca="1">tertiair!L20</f>
        <v>0</v>
      </c>
      <c r="N36" s="718">
        <f>tertiair!M20</f>
        <v>0</v>
      </c>
      <c r="O36" s="718">
        <f ca="1">tertiair!N20</f>
        <v>0</v>
      </c>
      <c r="P36" s="718">
        <f>tertiair!O20</f>
        <v>0</v>
      </c>
      <c r="Q36" s="828">
        <f>tertiair!P20</f>
        <v>0</v>
      </c>
      <c r="R36" s="917">
        <f ca="1">SUM(C36:Q36)</f>
        <v>24786.778819140905</v>
      </c>
    </row>
    <row r="37" spans="1:18">
      <c r="A37" s="885" t="s">
        <v>225</v>
      </c>
      <c r="B37" s="892"/>
      <c r="C37" s="718">
        <f ca="1">huishoudens!B12</f>
        <v>12595.992659802021</v>
      </c>
      <c r="D37" s="718">
        <f ca="1">huishoudens!C12</f>
        <v>0</v>
      </c>
      <c r="E37" s="718">
        <f>huishoudens!D12</f>
        <v>37403.705146816195</v>
      </c>
      <c r="F37" s="718">
        <f>huishoudens!E12</f>
        <v>464.60096252696809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50464.298769145185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11847.735146053166</v>
      </c>
      <c r="D39" s="718">
        <f ca="1">industrie!C22</f>
        <v>0</v>
      </c>
      <c r="E39" s="718">
        <f>industrie!D22</f>
        <v>27215.670218613395</v>
      </c>
      <c r="F39" s="718">
        <f>industrie!E22</f>
        <v>507.79536950423494</v>
      </c>
      <c r="G39" s="718">
        <f>industrie!F22</f>
        <v>2374.3357067349702</v>
      </c>
      <c r="H39" s="718">
        <f>industrie!G22</f>
        <v>0</v>
      </c>
      <c r="I39" s="718">
        <f>industrie!H22</f>
        <v>0</v>
      </c>
      <c r="J39" s="718">
        <f>industrie!I22</f>
        <v>0</v>
      </c>
      <c r="K39" s="718">
        <f>industrie!J22</f>
        <v>14.602666585345238</v>
      </c>
      <c r="L39" s="718">
        <f>industrie!K22</f>
        <v>0</v>
      </c>
      <c r="M39" s="718">
        <f>industrie!L22</f>
        <v>0</v>
      </c>
      <c r="N39" s="718">
        <f>industrie!M22</f>
        <v>0</v>
      </c>
      <c r="O39" s="718">
        <f>industrie!N22</f>
        <v>0</v>
      </c>
      <c r="P39" s="718">
        <f>industrie!O22</f>
        <v>0</v>
      </c>
      <c r="Q39" s="828">
        <f>industrie!P22</f>
        <v>0</v>
      </c>
      <c r="R39" s="918">
        <f ca="1">SUM(C39:Q39)</f>
        <v>41960.139107491115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34565.946579594674</v>
      </c>
      <c r="D41" s="763">
        <f t="shared" ref="D41:R41" ca="1" si="4">SUM(D35:D40)</f>
        <v>1.3663813813813812</v>
      </c>
      <c r="E41" s="763">
        <f t="shared" ca="1" si="4"/>
        <v>76980.636130228217</v>
      </c>
      <c r="F41" s="763">
        <f t="shared" si="4"/>
        <v>1164.8613662813787</v>
      </c>
      <c r="G41" s="763">
        <f t="shared" ca="1" si="4"/>
        <v>4483.7838039311246</v>
      </c>
      <c r="H41" s="763">
        <f t="shared" si="4"/>
        <v>0</v>
      </c>
      <c r="I41" s="763">
        <f t="shared" si="4"/>
        <v>0</v>
      </c>
      <c r="J41" s="763">
        <f t="shared" si="4"/>
        <v>0</v>
      </c>
      <c r="K41" s="763">
        <f t="shared" si="4"/>
        <v>14.622434360423469</v>
      </c>
      <c r="L41" s="763">
        <f t="shared" si="4"/>
        <v>0</v>
      </c>
      <c r="M41" s="763">
        <f t="shared" ca="1" si="4"/>
        <v>0</v>
      </c>
      <c r="N41" s="763">
        <f t="shared" si="4"/>
        <v>0</v>
      </c>
      <c r="O41" s="763">
        <f t="shared" ca="1" si="4"/>
        <v>0</v>
      </c>
      <c r="P41" s="763">
        <f t="shared" si="4"/>
        <v>0</v>
      </c>
      <c r="Q41" s="764">
        <f t="shared" si="4"/>
        <v>0</v>
      </c>
      <c r="R41" s="765">
        <f t="shared" ca="1" si="4"/>
        <v>117211.2166957772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959.73082177111542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959.73082177111542</v>
      </c>
    </row>
    <row r="45" spans="1:18" ht="15" thickBot="1">
      <c r="A45" s="888" t="s">
        <v>307</v>
      </c>
      <c r="B45" s="898"/>
      <c r="C45" s="727">
        <f ca="1">transport!B18</f>
        <v>27.178244407090872</v>
      </c>
      <c r="D45" s="727">
        <f>transport!C18</f>
        <v>0</v>
      </c>
      <c r="E45" s="727">
        <f>transport!D18</f>
        <v>86.53333016516072</v>
      </c>
      <c r="F45" s="727">
        <f>transport!E18</f>
        <v>148.80004597005538</v>
      </c>
      <c r="G45" s="727">
        <f>transport!F18</f>
        <v>0</v>
      </c>
      <c r="H45" s="727">
        <f>transport!G18</f>
        <v>72411.750214218715</v>
      </c>
      <c r="I45" s="727">
        <f>transport!H18</f>
        <v>12346.600078731071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85020.861913492103</v>
      </c>
    </row>
    <row r="46" spans="1:18" ht="15.75" thickBot="1">
      <c r="A46" s="886" t="s">
        <v>230</v>
      </c>
      <c r="B46" s="899"/>
      <c r="C46" s="763">
        <f t="shared" ref="C46:R46" ca="1" si="5">SUM(C43:C45)</f>
        <v>27.178244407090872</v>
      </c>
      <c r="D46" s="763">
        <f t="shared" ca="1" si="5"/>
        <v>0</v>
      </c>
      <c r="E46" s="763">
        <f t="shared" si="5"/>
        <v>86.53333016516072</v>
      </c>
      <c r="F46" s="763">
        <f t="shared" si="5"/>
        <v>148.80004597005538</v>
      </c>
      <c r="G46" s="763">
        <f t="shared" si="5"/>
        <v>0</v>
      </c>
      <c r="H46" s="763">
        <f t="shared" si="5"/>
        <v>73371.481035989826</v>
      </c>
      <c r="I46" s="763">
        <f t="shared" si="5"/>
        <v>12346.600078731071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85980.592735263213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64.280957449794229</v>
      </c>
      <c r="D48" s="718">
        <f ca="1">+landbouw!C12</f>
        <v>0</v>
      </c>
      <c r="E48" s="718">
        <f>+landbouw!D12</f>
        <v>1678.5280650164648</v>
      </c>
      <c r="F48" s="718">
        <f>+landbouw!E12</f>
        <v>1.9899733724241166</v>
      </c>
      <c r="G48" s="718">
        <f>+landbouw!F12</f>
        <v>331.74285964989065</v>
      </c>
      <c r="H48" s="718">
        <f>+landbouw!G12</f>
        <v>0</v>
      </c>
      <c r="I48" s="718">
        <f>+landbouw!H12</f>
        <v>0</v>
      </c>
      <c r="J48" s="718">
        <f>+landbouw!I12</f>
        <v>0</v>
      </c>
      <c r="K48" s="718">
        <f>+landbouw!J12</f>
        <v>15.296214579366064</v>
      </c>
      <c r="L48" s="718">
        <f>+landbouw!K12</f>
        <v>0</v>
      </c>
      <c r="M48" s="718">
        <f>+landbouw!L12</f>
        <v>0</v>
      </c>
      <c r="N48" s="718">
        <f>+landbouw!M12</f>
        <v>0</v>
      </c>
      <c r="O48" s="718">
        <f>+landbouw!N12</f>
        <v>0</v>
      </c>
      <c r="P48" s="718">
        <f>+landbouw!O12</f>
        <v>0</v>
      </c>
      <c r="Q48" s="719">
        <f>+landbouw!P12</f>
        <v>0</v>
      </c>
      <c r="R48" s="761">
        <f ca="1">SUM(C48:Q48)</f>
        <v>2091.83807006794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34657.405781451562</v>
      </c>
      <c r="D53" s="773">
        <f t="shared" ref="D53:Q53" ca="1" si="6">D41+D46+D48</f>
        <v>1.3663813813813812</v>
      </c>
      <c r="E53" s="773">
        <f t="shared" ca="1" si="6"/>
        <v>78745.697525409836</v>
      </c>
      <c r="F53" s="773">
        <f t="shared" si="6"/>
        <v>1315.6513856238582</v>
      </c>
      <c r="G53" s="773">
        <f t="shared" ca="1" si="6"/>
        <v>4815.5266635810149</v>
      </c>
      <c r="H53" s="773">
        <f t="shared" si="6"/>
        <v>73371.481035989826</v>
      </c>
      <c r="I53" s="773">
        <f t="shared" si="6"/>
        <v>12346.600078731071</v>
      </c>
      <c r="J53" s="773">
        <f t="shared" si="6"/>
        <v>0</v>
      </c>
      <c r="K53" s="773">
        <f t="shared" si="6"/>
        <v>29.918648939789534</v>
      </c>
      <c r="L53" s="773">
        <f t="shared" si="6"/>
        <v>0</v>
      </c>
      <c r="M53" s="773">
        <f t="shared" ca="1" si="6"/>
        <v>0</v>
      </c>
      <c r="N53" s="773">
        <f t="shared" si="6"/>
        <v>0</v>
      </c>
      <c r="O53" s="773">
        <f t="shared" ca="1" si="6"/>
        <v>0</v>
      </c>
      <c r="P53" s="773">
        <f>P41+P46+P48</f>
        <v>0</v>
      </c>
      <c r="Q53" s="774">
        <f t="shared" si="6"/>
        <v>0</v>
      </c>
      <c r="R53" s="775">
        <f ca="1">R41+R46+R48</f>
        <v>205283.64750110835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0.2155289665834641</v>
      </c>
      <c r="D55" s="836">
        <f t="shared" ca="1" si="7"/>
        <v>0.22444444444444442</v>
      </c>
      <c r="E55" s="836">
        <f t="shared" ca="1" si="7"/>
        <v>0.20200000000000004</v>
      </c>
      <c r="F55" s="836">
        <f t="shared" si="7"/>
        <v>0.22700000000000001</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3980.8400218450133</v>
      </c>
      <c r="C66" s="795">
        <f>'lokale energieproductie'!B6</f>
        <v>3980.8400218450133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4.25</v>
      </c>
      <c r="C67" s="794">
        <f>B67*IFERROR(SUM(J67:L67)/SUM(D67:M67),0)</f>
        <v>0</v>
      </c>
      <c r="D67" s="826">
        <f>'lokale energieproductie'!C7</f>
        <v>4.7222222222222214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0.95388888888888879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3985.0900218450133</v>
      </c>
      <c r="C69" s="803">
        <f>SUM(C64:C68)</f>
        <v>3980.8400218450133</v>
      </c>
      <c r="D69" s="804">
        <f t="shared" ref="D69:M69" si="8">SUM(D67:D68)</f>
        <v>4.7222222222222214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0.95388888888888879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6.0878378378378377</v>
      </c>
      <c r="C78" s="817">
        <f>B78*IFERROR(SUM(I78:L78)/SUM(D78:M78),0)</f>
        <v>0</v>
      </c>
      <c r="D78" s="832">
        <f>'lokale energieproductie'!C16</f>
        <v>6.7642642642642627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1.3663813813813812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6.0878378378378377</v>
      </c>
      <c r="C81" s="803">
        <f>SUM(C78:C80)</f>
        <v>0</v>
      </c>
      <c r="D81" s="803">
        <f t="shared" ref="D81:P81" si="9">SUM(D78:D80)</f>
        <v>6.7642642642642627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1.3663813813813812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58442.226395235804</v>
      </c>
      <c r="C4" s="478">
        <f>huishoudens!C8</f>
        <v>0</v>
      </c>
      <c r="D4" s="478">
        <f>huishoudens!D8</f>
        <v>185166.85716245641</v>
      </c>
      <c r="E4" s="478">
        <f>huishoudens!E8</f>
        <v>2046.7002754491987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11770.385788622807</v>
      </c>
      <c r="O4" s="478">
        <f>huishoudens!O8</f>
        <v>273.58333333333331</v>
      </c>
      <c r="P4" s="479">
        <f>huishoudens!P8</f>
        <v>572</v>
      </c>
      <c r="Q4" s="480">
        <f>SUM(B4:P4)</f>
        <v>258271.75295509756</v>
      </c>
    </row>
    <row r="5" spans="1:17">
      <c r="A5" s="477" t="s">
        <v>156</v>
      </c>
      <c r="B5" s="478">
        <f ca="1">tertiair!B16</f>
        <v>45079.836006828431</v>
      </c>
      <c r="C5" s="478">
        <f ca="1">tertiair!C16</f>
        <v>6.0878378378378377</v>
      </c>
      <c r="D5" s="478">
        <f ca="1">tertiair!D16</f>
        <v>61194.360221775372</v>
      </c>
      <c r="E5" s="478">
        <f>tertiair!E16</f>
        <v>847.8635870051794</v>
      </c>
      <c r="F5" s="478">
        <f ca="1">tertiair!F16</f>
        <v>7900.5546711466468</v>
      </c>
      <c r="G5" s="478">
        <f>tertiair!G16</f>
        <v>0</v>
      </c>
      <c r="H5" s="478">
        <f>tertiair!H16</f>
        <v>0</v>
      </c>
      <c r="I5" s="478">
        <f>tertiair!I16</f>
        <v>0</v>
      </c>
      <c r="J5" s="478">
        <f>tertiair!J16</f>
        <v>5.5841172537374667E-2</v>
      </c>
      <c r="K5" s="478">
        <f>tertiair!K16</f>
        <v>0</v>
      </c>
      <c r="L5" s="478">
        <f ca="1">tertiair!L16</f>
        <v>0</v>
      </c>
      <c r="M5" s="478">
        <f>tertiair!M16</f>
        <v>0</v>
      </c>
      <c r="N5" s="478">
        <f ca="1">tertiair!N16</f>
        <v>2258.4177822414713</v>
      </c>
      <c r="O5" s="478">
        <f>tertiair!O16</f>
        <v>1.5633333333333335</v>
      </c>
      <c r="P5" s="479">
        <f>tertiair!P16</f>
        <v>0</v>
      </c>
      <c r="Q5" s="477">
        <f t="shared" ref="Q5:Q13" ca="1" si="0">SUM(B5:P5)</f>
        <v>117288.73928134081</v>
      </c>
    </row>
    <row r="6" spans="1:17">
      <c r="A6" s="477" t="s">
        <v>194</v>
      </c>
      <c r="B6" s="478">
        <f>'openbare verlichting'!B8</f>
        <v>1884.704</v>
      </c>
      <c r="C6" s="478"/>
      <c r="D6" s="478"/>
      <c r="E6" s="478"/>
      <c r="F6" s="478"/>
      <c r="G6" s="478"/>
      <c r="H6" s="478"/>
      <c r="I6" s="478"/>
      <c r="J6" s="478"/>
      <c r="K6" s="478"/>
      <c r="L6" s="478"/>
      <c r="M6" s="478"/>
      <c r="N6" s="478"/>
      <c r="O6" s="478"/>
      <c r="P6" s="479"/>
      <c r="Q6" s="477">
        <f t="shared" si="0"/>
        <v>1884.704</v>
      </c>
    </row>
    <row r="7" spans="1:17">
      <c r="A7" s="477" t="s">
        <v>112</v>
      </c>
      <c r="B7" s="478">
        <f>landbouw!B8</f>
        <v>298.24741643207983</v>
      </c>
      <c r="C7" s="478">
        <f>landbouw!C8</f>
        <v>0</v>
      </c>
      <c r="D7" s="478">
        <f>landbouw!D8</f>
        <v>8309.5448763191325</v>
      </c>
      <c r="E7" s="478">
        <f>landbouw!E8</f>
        <v>8.7664025216921431</v>
      </c>
      <c r="F7" s="478">
        <f>landbouw!F8</f>
        <v>1242.4826204115755</v>
      </c>
      <c r="G7" s="478">
        <f>landbouw!G8</f>
        <v>0</v>
      </c>
      <c r="H7" s="478">
        <f>landbouw!H8</f>
        <v>0</v>
      </c>
      <c r="I7" s="478">
        <f>landbouw!I8</f>
        <v>0</v>
      </c>
      <c r="J7" s="478">
        <f>landbouw!J8</f>
        <v>43.209645704423913</v>
      </c>
      <c r="K7" s="478">
        <f>landbouw!K8</f>
        <v>0</v>
      </c>
      <c r="L7" s="478">
        <f>landbouw!L8</f>
        <v>0</v>
      </c>
      <c r="M7" s="478">
        <f>landbouw!M8</f>
        <v>0</v>
      </c>
      <c r="N7" s="478">
        <f>landbouw!N8</f>
        <v>0</v>
      </c>
      <c r="O7" s="478">
        <f>landbouw!O8</f>
        <v>0</v>
      </c>
      <c r="P7" s="479">
        <f>landbouw!P8</f>
        <v>0</v>
      </c>
      <c r="Q7" s="477">
        <f t="shared" si="0"/>
        <v>9902.2509613889051</v>
      </c>
    </row>
    <row r="8" spans="1:17">
      <c r="A8" s="477" t="s">
        <v>635</v>
      </c>
      <c r="B8" s="478">
        <f>industrie!B18</f>
        <v>54970.500410510263</v>
      </c>
      <c r="C8" s="478">
        <f>industrie!C18</f>
        <v>0</v>
      </c>
      <c r="D8" s="478">
        <f>industrie!D18</f>
        <v>134731.04068620491</v>
      </c>
      <c r="E8" s="478">
        <f>industrie!E18</f>
        <v>2236.9840066265856</v>
      </c>
      <c r="F8" s="478">
        <f>industrie!F18</f>
        <v>8892.6430963856565</v>
      </c>
      <c r="G8" s="478">
        <f>industrie!G18</f>
        <v>0</v>
      </c>
      <c r="H8" s="478">
        <f>industrie!H18</f>
        <v>0</v>
      </c>
      <c r="I8" s="478">
        <f>industrie!I18</f>
        <v>0</v>
      </c>
      <c r="J8" s="478">
        <f>industrie!J18</f>
        <v>41.250470580071294</v>
      </c>
      <c r="K8" s="478">
        <f>industrie!K18</f>
        <v>0</v>
      </c>
      <c r="L8" s="478">
        <f>industrie!L18</f>
        <v>0</v>
      </c>
      <c r="M8" s="478">
        <f>industrie!M18</f>
        <v>0</v>
      </c>
      <c r="N8" s="478">
        <f>industrie!N18</f>
        <v>7652.6821666990309</v>
      </c>
      <c r="O8" s="478">
        <f>industrie!O18</f>
        <v>0</v>
      </c>
      <c r="P8" s="479">
        <f>industrie!P18</f>
        <v>0</v>
      </c>
      <c r="Q8" s="477">
        <f t="shared" si="0"/>
        <v>208525.10083700652</v>
      </c>
    </row>
    <row r="9" spans="1:17" s="483" customFormat="1">
      <c r="A9" s="481" t="s">
        <v>561</v>
      </c>
      <c r="B9" s="482">
        <f>transport!B14</f>
        <v>126.10019357451905</v>
      </c>
      <c r="C9" s="482">
        <f>transport!C14</f>
        <v>0</v>
      </c>
      <c r="D9" s="482">
        <f>transport!D14</f>
        <v>428.38282259980554</v>
      </c>
      <c r="E9" s="482">
        <f>transport!E14</f>
        <v>655.5068104407726</v>
      </c>
      <c r="F9" s="482">
        <f>transport!F14</f>
        <v>0</v>
      </c>
      <c r="G9" s="482">
        <f>transport!G14</f>
        <v>271205.05698209256</v>
      </c>
      <c r="H9" s="482">
        <f>transport!H14</f>
        <v>49584.739272012332</v>
      </c>
      <c r="I9" s="482">
        <f>transport!I14</f>
        <v>0</v>
      </c>
      <c r="J9" s="482">
        <f>transport!J14</f>
        <v>0</v>
      </c>
      <c r="K9" s="482">
        <f>transport!K14</f>
        <v>0</v>
      </c>
      <c r="L9" s="482">
        <f>transport!L14</f>
        <v>0</v>
      </c>
      <c r="M9" s="482">
        <f>transport!M14</f>
        <v>17317.059822407107</v>
      </c>
      <c r="N9" s="482">
        <f>transport!N14</f>
        <v>0</v>
      </c>
      <c r="O9" s="482">
        <f>transport!O14</f>
        <v>0</v>
      </c>
      <c r="P9" s="482">
        <f>transport!P14</f>
        <v>0</v>
      </c>
      <c r="Q9" s="481">
        <f>SUM(B9:P9)</f>
        <v>339316.84590312705</v>
      </c>
    </row>
    <row r="10" spans="1:17">
      <c r="A10" s="477" t="s">
        <v>551</v>
      </c>
      <c r="B10" s="478">
        <f>transport!B54</f>
        <v>0</v>
      </c>
      <c r="C10" s="478">
        <f>transport!C54</f>
        <v>0</v>
      </c>
      <c r="D10" s="478">
        <f>transport!D54</f>
        <v>0</v>
      </c>
      <c r="E10" s="478">
        <f>transport!E54</f>
        <v>0</v>
      </c>
      <c r="F10" s="478">
        <f>transport!F54</f>
        <v>0</v>
      </c>
      <c r="G10" s="478">
        <f>transport!G54</f>
        <v>3594.4974598169115</v>
      </c>
      <c r="H10" s="478">
        <f>transport!H54</f>
        <v>0</v>
      </c>
      <c r="I10" s="478">
        <f>transport!I54</f>
        <v>0</v>
      </c>
      <c r="J10" s="478">
        <f>transport!J54</f>
        <v>0</v>
      </c>
      <c r="K10" s="478">
        <f>transport!K54</f>
        <v>0</v>
      </c>
      <c r="L10" s="478">
        <f>transport!L54</f>
        <v>0</v>
      </c>
      <c r="M10" s="478">
        <f>transport!M54</f>
        <v>204.1515875340001</v>
      </c>
      <c r="N10" s="478">
        <f>transport!N54</f>
        <v>0</v>
      </c>
      <c r="O10" s="478">
        <f>transport!O54</f>
        <v>0</v>
      </c>
      <c r="P10" s="479">
        <f>transport!P54</f>
        <v>0</v>
      </c>
      <c r="Q10" s="477">
        <f t="shared" si="0"/>
        <v>3798.6490473509116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160801.6144225811</v>
      </c>
      <c r="C14" s="488">
        <f t="shared" ref="C14:Q14" ca="1" si="1">SUM(C4:C13)</f>
        <v>6.0878378378378377</v>
      </c>
      <c r="D14" s="488">
        <f t="shared" ca="1" si="1"/>
        <v>389830.18576935556</v>
      </c>
      <c r="E14" s="488">
        <f t="shared" si="1"/>
        <v>5795.8210820434288</v>
      </c>
      <c r="F14" s="488">
        <f t="shared" ca="1" si="1"/>
        <v>18035.680387943881</v>
      </c>
      <c r="G14" s="488">
        <f t="shared" si="1"/>
        <v>274799.55444190948</v>
      </c>
      <c r="H14" s="488">
        <f t="shared" si="1"/>
        <v>49584.739272012332</v>
      </c>
      <c r="I14" s="488">
        <f t="shared" si="1"/>
        <v>0</v>
      </c>
      <c r="J14" s="488">
        <f t="shared" si="1"/>
        <v>84.515957457032584</v>
      </c>
      <c r="K14" s="488">
        <f t="shared" si="1"/>
        <v>0</v>
      </c>
      <c r="L14" s="488">
        <f t="shared" ca="1" si="1"/>
        <v>0</v>
      </c>
      <c r="M14" s="488">
        <f t="shared" si="1"/>
        <v>17521.211409941108</v>
      </c>
      <c r="N14" s="488">
        <f t="shared" ca="1" si="1"/>
        <v>21681.485737563307</v>
      </c>
      <c r="O14" s="488">
        <f t="shared" si="1"/>
        <v>275.14666666666665</v>
      </c>
      <c r="P14" s="489">
        <f t="shared" si="1"/>
        <v>572</v>
      </c>
      <c r="Q14" s="489">
        <f t="shared" ca="1" si="1"/>
        <v>938988.04298531183</v>
      </c>
    </row>
    <row r="16" spans="1:17">
      <c r="A16" s="491" t="s">
        <v>556</v>
      </c>
      <c r="B16" s="841">
        <f ca="1">huishoudens!B10</f>
        <v>0.2155289665834641</v>
      </c>
      <c r="C16" s="841">
        <f ca="1">huishoudens!C10</f>
        <v>0.22444444444444442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12595.992659802021</v>
      </c>
      <c r="C21" s="478">
        <f t="shared" ref="C21:C30" ca="1" si="3">C4*$C$16</f>
        <v>0</v>
      </c>
      <c r="D21" s="478">
        <f t="shared" ref="D21:D30" si="4">D4*$D$16</f>
        <v>37403.705146816195</v>
      </c>
      <c r="E21" s="478">
        <f t="shared" ref="E21:E30" si="5">E4*$E$16</f>
        <v>464.60096252696809</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50464.298769145185</v>
      </c>
    </row>
    <row r="22" spans="1:17">
      <c r="A22" s="477" t="s">
        <v>156</v>
      </c>
      <c r="B22" s="478">
        <f t="shared" ca="1" si="2"/>
        <v>9716.0104683037662</v>
      </c>
      <c r="C22" s="478">
        <f t="shared" ca="1" si="3"/>
        <v>1.3663813813813812</v>
      </c>
      <c r="D22" s="478">
        <f t="shared" ca="1" si="4"/>
        <v>12361.260764798626</v>
      </c>
      <c r="E22" s="478">
        <f t="shared" si="5"/>
        <v>192.46503425017573</v>
      </c>
      <c r="F22" s="478">
        <f t="shared" ca="1" si="6"/>
        <v>2109.4480971961548</v>
      </c>
      <c r="G22" s="478">
        <f t="shared" si="7"/>
        <v>0</v>
      </c>
      <c r="H22" s="478">
        <f t="shared" si="8"/>
        <v>0</v>
      </c>
      <c r="I22" s="478">
        <f t="shared" si="9"/>
        <v>0</v>
      </c>
      <c r="J22" s="478">
        <f t="shared" si="10"/>
        <v>1.9767775078230632E-2</v>
      </c>
      <c r="K22" s="478">
        <f t="shared" si="11"/>
        <v>0</v>
      </c>
      <c r="L22" s="478">
        <f t="shared" ca="1" si="12"/>
        <v>0</v>
      </c>
      <c r="M22" s="478">
        <f t="shared" si="13"/>
        <v>0</v>
      </c>
      <c r="N22" s="478">
        <f t="shared" ca="1" si="14"/>
        <v>0</v>
      </c>
      <c r="O22" s="478">
        <f t="shared" si="15"/>
        <v>0</v>
      </c>
      <c r="P22" s="479">
        <f t="shared" si="16"/>
        <v>0</v>
      </c>
      <c r="Q22" s="477">
        <f t="shared" ref="Q22:Q30" ca="1" si="17">SUM(B22:P22)</f>
        <v>24380.570513705185</v>
      </c>
    </row>
    <row r="23" spans="1:17">
      <c r="A23" s="477" t="s">
        <v>194</v>
      </c>
      <c r="B23" s="478">
        <f t="shared" ca="1" si="2"/>
        <v>406.20830543572112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406.20830543572112</v>
      </c>
    </row>
    <row r="24" spans="1:17">
      <c r="A24" s="477" t="s">
        <v>112</v>
      </c>
      <c r="B24" s="478">
        <f t="shared" ca="1" si="2"/>
        <v>64.280957449794229</v>
      </c>
      <c r="C24" s="478">
        <f t="shared" ca="1" si="3"/>
        <v>0</v>
      </c>
      <c r="D24" s="478">
        <f t="shared" si="4"/>
        <v>1678.5280650164648</v>
      </c>
      <c r="E24" s="478">
        <f t="shared" si="5"/>
        <v>1.9899733724241166</v>
      </c>
      <c r="F24" s="478">
        <f t="shared" si="6"/>
        <v>331.74285964989065</v>
      </c>
      <c r="G24" s="478">
        <f t="shared" si="7"/>
        <v>0</v>
      </c>
      <c r="H24" s="478">
        <f t="shared" si="8"/>
        <v>0</v>
      </c>
      <c r="I24" s="478">
        <f t="shared" si="9"/>
        <v>0</v>
      </c>
      <c r="J24" s="478">
        <f t="shared" si="10"/>
        <v>15.296214579366064</v>
      </c>
      <c r="K24" s="478">
        <f t="shared" si="11"/>
        <v>0</v>
      </c>
      <c r="L24" s="478">
        <f t="shared" si="12"/>
        <v>0</v>
      </c>
      <c r="M24" s="478">
        <f t="shared" si="13"/>
        <v>0</v>
      </c>
      <c r="N24" s="478">
        <f t="shared" si="14"/>
        <v>0</v>
      </c>
      <c r="O24" s="478">
        <f t="shared" si="15"/>
        <v>0</v>
      </c>
      <c r="P24" s="479">
        <f t="shared" si="16"/>
        <v>0</v>
      </c>
      <c r="Q24" s="477">
        <f t="shared" ca="1" si="17"/>
        <v>2091.83807006794</v>
      </c>
    </row>
    <row r="25" spans="1:17">
      <c r="A25" s="477" t="s">
        <v>635</v>
      </c>
      <c r="B25" s="478">
        <f t="shared" ca="1" si="2"/>
        <v>11847.735146053166</v>
      </c>
      <c r="C25" s="478">
        <f t="shared" ca="1" si="3"/>
        <v>0</v>
      </c>
      <c r="D25" s="478">
        <f t="shared" si="4"/>
        <v>27215.670218613395</v>
      </c>
      <c r="E25" s="478">
        <f t="shared" si="5"/>
        <v>507.79536950423494</v>
      </c>
      <c r="F25" s="478">
        <f t="shared" si="6"/>
        <v>2374.3357067349702</v>
      </c>
      <c r="G25" s="478">
        <f t="shared" si="7"/>
        <v>0</v>
      </c>
      <c r="H25" s="478">
        <f t="shared" si="8"/>
        <v>0</v>
      </c>
      <c r="I25" s="478">
        <f t="shared" si="9"/>
        <v>0</v>
      </c>
      <c r="J25" s="478">
        <f t="shared" si="10"/>
        <v>14.602666585345238</v>
      </c>
      <c r="K25" s="478">
        <f t="shared" si="11"/>
        <v>0</v>
      </c>
      <c r="L25" s="478">
        <f t="shared" si="12"/>
        <v>0</v>
      </c>
      <c r="M25" s="478">
        <f t="shared" si="13"/>
        <v>0</v>
      </c>
      <c r="N25" s="478">
        <f t="shared" si="14"/>
        <v>0</v>
      </c>
      <c r="O25" s="478">
        <f t="shared" si="15"/>
        <v>0</v>
      </c>
      <c r="P25" s="479">
        <f t="shared" si="16"/>
        <v>0</v>
      </c>
      <c r="Q25" s="477">
        <f t="shared" ca="1" si="17"/>
        <v>41960.139107491115</v>
      </c>
    </row>
    <row r="26" spans="1:17" s="483" customFormat="1">
      <c r="A26" s="481" t="s">
        <v>561</v>
      </c>
      <c r="B26" s="835">
        <f t="shared" ca="1" si="2"/>
        <v>27.178244407090872</v>
      </c>
      <c r="C26" s="482">
        <f t="shared" ca="1" si="3"/>
        <v>0</v>
      </c>
      <c r="D26" s="482">
        <f t="shared" si="4"/>
        <v>86.53333016516072</v>
      </c>
      <c r="E26" s="482">
        <f t="shared" si="5"/>
        <v>148.80004597005538</v>
      </c>
      <c r="F26" s="482">
        <f t="shared" si="6"/>
        <v>0</v>
      </c>
      <c r="G26" s="482">
        <f t="shared" si="7"/>
        <v>72411.750214218715</v>
      </c>
      <c r="H26" s="482">
        <f t="shared" si="8"/>
        <v>12346.600078731071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85020.861913492103</v>
      </c>
    </row>
    <row r="27" spans="1:17">
      <c r="A27" s="477" t="s">
        <v>551</v>
      </c>
      <c r="B27" s="478">
        <f t="shared" ca="1" si="2"/>
        <v>0</v>
      </c>
      <c r="C27" s="478">
        <f t="shared" ca="1" si="3"/>
        <v>0</v>
      </c>
      <c r="D27" s="478">
        <f t="shared" si="4"/>
        <v>0</v>
      </c>
      <c r="E27" s="478">
        <f t="shared" si="5"/>
        <v>0</v>
      </c>
      <c r="F27" s="478">
        <f t="shared" si="6"/>
        <v>0</v>
      </c>
      <c r="G27" s="478">
        <f t="shared" si="7"/>
        <v>959.73082177111542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959.73082177111542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34657.405781451562</v>
      </c>
      <c r="C31" s="488">
        <f t="shared" ca="1" si="18"/>
        <v>1.3663813813813812</v>
      </c>
      <c r="D31" s="488">
        <f t="shared" ca="1" si="18"/>
        <v>78745.697525409836</v>
      </c>
      <c r="E31" s="488">
        <f t="shared" si="18"/>
        <v>1315.6513856238582</v>
      </c>
      <c r="F31" s="488">
        <f t="shared" ca="1" si="18"/>
        <v>4815.5266635810158</v>
      </c>
      <c r="G31" s="488">
        <f t="shared" si="18"/>
        <v>73371.481035989826</v>
      </c>
      <c r="H31" s="488">
        <f t="shared" si="18"/>
        <v>12346.600078731071</v>
      </c>
      <c r="I31" s="488">
        <f t="shared" si="18"/>
        <v>0</v>
      </c>
      <c r="J31" s="488">
        <f t="shared" si="18"/>
        <v>29.918648939789534</v>
      </c>
      <c r="K31" s="488">
        <f t="shared" si="18"/>
        <v>0</v>
      </c>
      <c r="L31" s="488">
        <f t="shared" ca="1" si="18"/>
        <v>0</v>
      </c>
      <c r="M31" s="488">
        <f t="shared" si="18"/>
        <v>0</v>
      </c>
      <c r="N31" s="488">
        <f t="shared" ca="1" si="18"/>
        <v>0</v>
      </c>
      <c r="O31" s="488">
        <f t="shared" si="18"/>
        <v>0</v>
      </c>
      <c r="P31" s="489">
        <f t="shared" si="18"/>
        <v>0</v>
      </c>
      <c r="Q31" s="489">
        <f t="shared" ca="1" si="18"/>
        <v>205283.64750110838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0.2155289665834641</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0.2155289665834641</v>
      </c>
      <c r="C17" s="528">
        <f ca="1">'EF ele_warmte'!B22</f>
        <v>0.22444444444444442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0.2155289665834641</v>
      </c>
      <c r="C29" s="529">
        <f ca="1">'EF ele_warmte'!B22</f>
        <v>0.22444444444444442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2018-09-06T12:45:55Z</dcterms:modified>
</cp:coreProperties>
</file>