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L6" i="17"/>
  <c r="L5" s="1"/>
  <c r="L16" i="16"/>
  <c r="L18" s="1"/>
  <c r="M13" i="14"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I5" i="48" l="1"/>
  <c r="I22" s="1"/>
  <c r="I31" s="1"/>
  <c r="L22" i="16"/>
  <c r="M39" i="14" s="1"/>
  <c r="I20" i="15"/>
  <c r="J36" i="14" s="1"/>
  <c r="B35" i="13"/>
  <c r="J15" i="14"/>
  <c r="J23" s="1"/>
  <c r="P8" i="48"/>
  <c r="P25" s="1"/>
  <c r="D18" i="16"/>
  <c r="D22" s="1"/>
  <c r="E39" i="14" s="1"/>
  <c r="G31" i="20"/>
  <c r="H43" i="14" s="1"/>
  <c r="G12" i="22"/>
  <c r="D16" i="15"/>
  <c r="D20" s="1"/>
  <c r="K22" i="14"/>
  <c r="E8" i="17"/>
  <c r="F22" i="14" s="1"/>
  <c r="O18" i="16"/>
  <c r="O22" s="1"/>
  <c r="P39" i="14" s="1"/>
  <c r="B36" i="13"/>
  <c r="H13" i="48"/>
  <c r="H30" s="1"/>
  <c r="H12" i="22"/>
  <c r="B34" i="13"/>
  <c r="B46" s="1"/>
  <c r="E5" s="1"/>
  <c r="E8" s="1"/>
  <c r="E12" s="1"/>
  <c r="F37" i="14" s="1"/>
  <c r="N8" i="17"/>
  <c r="N12" s="1"/>
  <c r="O48" i="14" s="1"/>
  <c r="L8" i="17"/>
  <c r="L12" s="1"/>
  <c r="M48" i="14" s="1"/>
  <c r="M50" i="22"/>
  <c r="M54" s="1"/>
  <c r="M10" i="48" s="1"/>
  <c r="M27" s="1"/>
  <c r="G51" i="22"/>
  <c r="G50" s="1"/>
  <c r="G54" s="1"/>
  <c r="H18" i="14" s="1"/>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E5" i="15"/>
  <c r="O20"/>
  <c r="P36" i="14" s="1"/>
  <c r="P10"/>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F13" i="16"/>
  <c r="E13"/>
  <c r="N13"/>
  <c r="J13"/>
  <c r="B47" i="13"/>
  <c r="N12" i="16"/>
  <c r="J12"/>
  <c r="F12"/>
  <c r="E12"/>
  <c r="Q11" i="48"/>
  <c r="O5"/>
  <c r="R9" i="14"/>
  <c r="O28" i="48"/>
  <c r="H22"/>
  <c r="K31"/>
  <c r="L26"/>
  <c r="B48" i="13"/>
  <c r="C48" s="1"/>
  <c r="N5" s="1"/>
  <c r="N8" s="1"/>
  <c r="N4" i="48" s="1"/>
  <c r="N21" s="1"/>
  <c r="M29"/>
  <c r="M25"/>
  <c r="M24"/>
  <c r="C50" i="13"/>
  <c r="J5" s="1"/>
  <c r="J8" s="1"/>
  <c r="C5" i="48"/>
  <c r="N7" l="1"/>
  <c r="N24" s="1"/>
  <c r="E7"/>
  <c r="E24" s="1"/>
  <c r="P31"/>
  <c r="I14"/>
  <c r="P13" i="14"/>
  <c r="P15" s="1"/>
  <c r="P23" s="1"/>
  <c r="P55" s="1"/>
  <c r="E12" i="17"/>
  <c r="F48" i="14" s="1"/>
  <c r="O8" i="48"/>
  <c r="O25" s="1"/>
  <c r="J16" i="15"/>
  <c r="K10" i="14" s="1"/>
  <c r="E16" i="15"/>
  <c r="F10" i="14" s="1"/>
  <c r="D8" i="48"/>
  <c r="D25" s="1"/>
  <c r="P41" i="14"/>
  <c r="P53" s="1"/>
  <c r="O22"/>
  <c r="L7" i="48"/>
  <c r="L24" s="1"/>
  <c r="M22" i="14"/>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E5"/>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O13"/>
  <c r="O15" s="1"/>
  <c r="F22" i="16"/>
  <c r="G39" i="14" s="1"/>
  <c r="G41" s="1"/>
  <c r="F8" i="48"/>
  <c r="Q4"/>
  <c r="N22"/>
  <c r="R11" i="14"/>
  <c r="J21" i="48"/>
  <c r="R10" i="14"/>
  <c r="Q5" i="48" l="1"/>
  <c r="N22" i="16"/>
  <c r="O39" i="14" s="1"/>
  <c r="O41" s="1"/>
  <c r="O53" s="1"/>
  <c r="E8" i="48"/>
  <c r="E25" s="1"/>
  <c r="E31" s="1"/>
  <c r="F13" i="14"/>
  <c r="F15" s="1"/>
  <c r="F23" s="1"/>
  <c r="F55" s="1"/>
  <c r="J22" i="16"/>
  <c r="K39" i="14" s="1"/>
  <c r="K41" s="1"/>
  <c r="K53" s="1"/>
  <c r="K55" s="1"/>
  <c r="J8" i="48"/>
  <c r="J25" s="1"/>
  <c r="J31" s="1"/>
  <c r="N25"/>
  <c r="N31" s="1"/>
  <c r="N14"/>
  <c r="N55" i="14"/>
  <c r="H55"/>
  <c r="E55"/>
  <c r="C78"/>
  <c r="C81" s="1"/>
  <c r="R19"/>
  <c r="R20" s="1"/>
  <c r="H14" i="48"/>
  <c r="G31"/>
  <c r="H26"/>
  <c r="H31" s="1"/>
  <c r="G53" i="14"/>
  <c r="G55" s="1"/>
  <c r="O69" s="1"/>
  <c r="B9" i="6" s="1"/>
  <c r="B12" s="1"/>
  <c r="M53" i="14"/>
  <c r="M55" s="1"/>
  <c r="C12" i="13"/>
  <c r="D37" i="14" s="1"/>
  <c r="D41" s="1"/>
  <c r="C23" i="48"/>
  <c r="C24"/>
  <c r="C27"/>
  <c r="C28"/>
  <c r="C22"/>
  <c r="C25"/>
  <c r="C29"/>
  <c r="C21"/>
  <c r="C26"/>
  <c r="F25"/>
  <c r="F31" s="1"/>
  <c r="F14"/>
  <c r="J14" l="1"/>
  <c r="E14"/>
  <c r="R13" i="14"/>
  <c r="R15" s="1"/>
  <c r="R23" s="1"/>
  <c r="Q8" i="48"/>
  <c r="Q14"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<sst xmlns="http://schemas.openxmlformats.org/spreadsheetml/2006/main" count="1914" uniqueCount="809">
  <si>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</si>
  <si>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</si>
  <si>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</si>
  <si>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</si>
  <si>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</si>
  <si>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</si>
  <si>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</si>
  <si>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</si>
  <si>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</si>
  <si>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</si>
  <si>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</si>
  <si>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</si>
  <si>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</si>
  <si>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</si>
  <si>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</si>
  <si>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</si>
  <si>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</si>
  <si>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</si>
  <si>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</si>
  <si>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</si>
  <si>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</si>
  <si>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</si>
  <si>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</si>
  <si>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</si>
  <si>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</si>
  <si>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</si>
  <si>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</si>
  <si>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</si>
  <si>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</si>
  <si>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</si>
  <si>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</si>
  <si>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</si>
  <si>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</si>
  <si>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</si>
  <si>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</si>
  <si>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</si>
  <si>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</si>
  <si>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</si>
  <si>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</si>
  <si>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</si>
  <si>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</si>
  <si>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</si>
  <si>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</si>
  <si>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</si>
  <si>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</si>
  <si>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</si>
  <si>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</si>
  <si>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</si>
  <si>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</si>
  <si>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</si>
  <si>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</si>
  <si>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</si>
  <si>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</si>
  <si>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</si>
  <si>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</si>
  <si>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</si>
  <si>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</si>
  <si>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</si>
  <si>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</si>
  <si>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</si>
  <si>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</si>
  <si>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</si>
  <si>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</si>
  <si>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</si>
  <si>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</si>
  <si>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</si>
  <si>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</si>
  <si>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</si>
  <si>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</si>
  <si>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</si>
  <si>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</si>
  <si>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</si>
  <si>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</si>
  <si>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</si>
  <si>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</si>
  <si>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</si>
  <si>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</si>
  <si>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</si>
  <si>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</si>
  <si>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</si>
  <si>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</si>
  <si>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</si>
  <si>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</si>
  <si>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</si>
  <si>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</si>
  <si>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</si>
  <si>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</si>
  <si>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</si>
  <si>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</si>
  <si>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</si>
  <si>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</si>
  <si>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</si>
  <si>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</si>
  <si>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</si>
  <si>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</si>
  <si>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</si>
  <si>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</si>
  <si>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</si>
  <si>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</si>
  <si>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</si>
  <si>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</si>
  <si>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</si>
  <si>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</si>
  <si>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</si>
  <si>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</si>
  <si>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</si>
  <si>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</si>
  <si>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</si>
  <si>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</si>
  <si>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</si>
  <si>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</si>
  <si>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</si>
  <si>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</si>
  <si>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</si>
  <si>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</si>
  <si>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</si>
  <si>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</si>
  <si>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</si>
  <si>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</si>
  <si>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</si>
  <si>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</si>
  <si>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</si>
  <si>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</si>
  <si>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</si>
  <si>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</si>
  <si>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</si>
  <si>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</si>
  <si>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</si>
  <si>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</si>
  <si>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</si>
  <si>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</si>
  <si>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</si>
  <si>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</si>
  <si>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</si>
  <si>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</si>
  <si>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</si>
  <si>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</si>
  <si>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</si>
  <si>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</si>
  <si>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</si>
  <si>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</si>
  <si>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</si>
  <si>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</si>
  <si>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</si>
  <si>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</si>
  <si>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</si>
  <si>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</si>
  <si>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</si>
  <si>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</si>
  <si>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</si>
  <si>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</si>
  <si>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</si>
  <si>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</si>
  <si>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</si>
  <si>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</si>
  <si>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</si>
  <si>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</si>
  <si>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</si>
  <si>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</si>
  <si>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</si>
  <si>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</si>
  <si>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</si>
  <si>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</si>
  <si>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</si>
  <si>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</si>
  <si>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</si>
  <si>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</si>
  <si>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</si>
  <si>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</si>
  <si>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</si>
  <si>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</si>
  <si>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</si>
  <si>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</si>
  <si>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</si>
  <si>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</si>
  <si>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</si>
  <si>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</si>
  <si>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</si>
  <si>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</si>
  <si>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</si>
  <si>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</si>
  <si>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</si>
  <si>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</si>
  <si>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</si>
  <si>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</si>
  <si>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</si>
  <si>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</si>
  <si>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</si>
  <si>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</si>
  <si>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</si>
  <si>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</si>
  <si>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</si>
  <si>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</si>
  <si>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</si>
  <si>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</si>
  <si>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</si>
  <si>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</si>
  <si>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</si>
  <si>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</si>
  <si>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</si>
  <si>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</si>
  <si>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</si>
  <si>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</si>
  <si>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</si>
  <si>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</si>
  <si>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</si>
  <si>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</si>
  <si>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</si>
  <si>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</si>
  <si>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</si>
  <si>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</si>
  <si>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</si>
  <si>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</si>
  <si>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</si>
  <si>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</si>
  <si>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</si>
  <si>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</si>
  <si>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</si>
  <si>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</si>
  <si>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</si>
  <si>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</si>
  <si>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</si>
  <si>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</si>
  <si>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</si>
  <si>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</si>
  <si>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</si>
  <si>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</si>
  <si>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</si>
  <si>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</si>
  <si>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</si>
  <si>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</si>
  <si>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</si>
  <si>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</si>
  <si>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</si>
  <si>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</si>
  <si>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</si>
  <si>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</si>
  <si>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</si>
  <si>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</si>
  <si>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</si>
  <si>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</si>
  <si>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</si>
  <si>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</si>
  <si>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</si>
  <si>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</si>
  <si>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</si>
  <si>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</si>
  <si>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</si>
  <si>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</si>
  <si>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</si>
  <si>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</si>
  <si>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</si>
  <si>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</si>
  <si>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</si>
  <si>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</si>
  <si>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</si>
  <si>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</si>
  <si>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</si>
  <si>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</si>
  <si>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</si>
  <si>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</si>
  <si>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</si>
  <si>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</si>
  <si>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</si>
  <si>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</si>
  <si>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</si>
  <si>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</si>
  <si>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</si>
  <si>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</si>
  <si>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</si>
  <si>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</si>
  <si>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</si>
  <si>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</si>
  <si>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</si>
  <si>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</si>
  <si>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</si>
  <si>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</si>
  <si>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</si>
  <si>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</si>
  <si>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</si>
  <si>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</si>
  <si>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</si>
  <si>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</si>
  <si>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</si>
  <si>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</si>
  <si>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</si>
  <si>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</si>
  <si>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</si>
  <si>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</si>
  <si>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</si>
  <si>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</si>
  <si>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</si>
  <si>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</si>
  <si>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</si>
  <si>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</si>
  <si>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</si>
  <si>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</si>
  <si>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</si>
  <si>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</si>
  <si>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</si>
  <si>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</si>
  <si>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</si>
  <si>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</si>
  <si>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</si>
  <si>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</si>
  <si>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</si>
  <si>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</si>
  <si>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</si>
  <si>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</si>
  <si>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</si>
  <si>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</si>
  <si>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</si>
  <si>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</si>
  <si>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</si>
  <si>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</si>
  <si>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</si>
  <si>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</si>
  <si>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</si>
  <si>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</si>
  <si>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</si>
  <si>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</si>
  <si>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</si>
  <si>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</si>
  <si>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</si>
  <si>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</si>
  <si>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</si>
  <si>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</si>
  <si>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</si>
  <si>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</si>
  <si>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</si>
  <si>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</si>
  <si>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</si>
  <si>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</si>
  <si>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</si>
  <si>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</si>
  <si>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</si>
  <si>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</si>
  <si>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</si>
  <si>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</si>
  <si>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</si>
  <si>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</si>
  <si>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</si>
  <si>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</si>
  <si>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</si>
  <si>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</si>
  <si>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</si>
  <si>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</si>
  <si>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</si>
  <si>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</si>
  <si>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</si>
  <si>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</si>
  <si>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</si>
  <si>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</si>
  <si>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</si>
  <si>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</si>
  <si>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</si>
  <si>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</si>
  <si>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</si>
  <si>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</si>
  <si>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</si>
  <si>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</si>
  <si>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</si>
  <si>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</si>
  <si>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</si>
  <si>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</si>
  <si>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</si>
  <si>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</si>
  <si>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</si>
  <si>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</si>
  <si>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</si>
  <si>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</si>
  <si>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</si>
  <si>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</si>
  <si>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</si>
  <si>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</si>
  <si>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</si>
  <si>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</si>
  <si>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</si>
  <si>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</si>
  <si>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</si>
  <si>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</si>
  <si>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</si>
  <si>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</si>
  <si>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</si>
  <si>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</si>
  <si>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</si>
  <si>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</si>
  <si>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</si>
  <si>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</si>
  <si>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</si>
  <si>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</si>
  <si>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</si>
  <si>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</si>
  <si>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</si>
  <si>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</si>
  <si>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</si>
  <si>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</si>
  <si>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</si>
  <si>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</si>
  <si>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</si>
  <si>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</si>
  <si>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</si>
  <si>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</si>
  <si>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</si>
  <si>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</si>
  <si>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</si>
  <si>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</si>
  <si>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</si>
  <si>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</si>
  <si>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</si>
  <si>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</si>
  <si>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</si>
  <si>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</si>
  <si>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</si>
  <si>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</si>
  <si>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</si>
  <si>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</si>
  <si>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</si>
  <si>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</si>
  <si>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</si>
  <si>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</si>
  <si>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</si>
  <si>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</si>
  <si>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</si>
  <si>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</si>
  <si>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</si>
  <si>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</si>
  <si>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</si>
  <si>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</si>
  <si>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</si>
  <si>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</si>
  <si>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</si>
  <si>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</si>
  <si>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</si>
  <si>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</si>
  <si>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</si>
  <si>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</si>
  <si>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</si>
  <si>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</si>
  <si>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</si>
  <si>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</si>
  <si>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</si>
  <si>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</si>
  <si>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</si>
  <si>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</si>
  <si>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</si>
  <si>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</si>
  <si>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</si>
  <si>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</si>
  <si>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</si>
  <si>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</si>
  <si>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</si>
  <si>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</si>
  <si>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</si>
  <si>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</si>
  <si>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</si>
  <si>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</si>
  <si>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</si>
  <si>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</si>
  <si>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</si>
  <si>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</si>
  <si>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</si>
  <si>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</si>
  <si>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</si>
  <si>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</si>
  <si>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</si>
  <si>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</si>
  <si>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</si>
  <si>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</si>
  <si>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</si>
  <si>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</si>
  <si>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</si>
  <si>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</si>
  <si>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</si>
  <si>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</si>
  <si>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</si>
  <si>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</si>
  <si>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</si>
  <si>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</si>
  <si>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</si>
  <si>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</si>
  <si>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</si>
  <si>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</si>
  <si>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</si>
  <si>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</si>
  <si>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</si>
  <si>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</si>
  <si>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</si>
  <si>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</si>
  <si>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</si>
  <si>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</si>
  <si>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</si>
  <si>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</si>
  <si>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</si>
  <si>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</si>
  <si>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</si>
  <si>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</si>
  <si>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</si>
  <si>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</si>
  <si>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</si>
  <si>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</si>
  <si>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</si>
  <si>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</si>
  <si>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</si>
  <si>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</si>
  <si>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</si>
  <si>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</si>
  <si>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</si>
  <si>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</si>
  <si>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</si>
  <si>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</si>
  <si>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</si>
  <si>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</si>
  <si>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</si>
  <si>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</si>
  <si>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</si>
  <si>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</si>
  <si>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</si>
  <si>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</si>
  <si>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</si>
  <si>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</si>
  <si>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</si>
  <si>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</si>
  <si>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</si>
  <si>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</si>
  <si>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</si>
  <si>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</si>
  <si>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</si>
  <si>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</si>
  <si>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</si>
  <si>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</si>
  <si>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</si>
  <si>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</si>
  <si>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</si>
  <si>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</si>
  <si>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</si>
  <si>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</si>
  <si>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</si>
  <si>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</si>
  <si>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</si>
  <si>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</si>
  <si>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</si>
  <si>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</si>
  <si>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</si>
  <si>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</si>
  <si>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</si>
  <si>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</si>
  <si>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</si>
  <si>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</si>
  <si>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</si>
  <si>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</si>
  <si>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</si>
  <si>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</si>
  <si>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</si>
  <si>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</si>
  <si>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</si>
  <si>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</si>
  <si>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</si>
  <si>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</si>
  <si>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</si>
  <si>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</si>
  <si>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</si>
  <si>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</si>
  <si>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</si>
  <si>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</si>
  <si>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</si>
  <si>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</si>
  <si>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</si>
  <si>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</si>
  <si>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</si>
  <si>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</si>
  <si>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</si>
  <si>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</si>
  <si>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</si>
  <si>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</si>
  <si>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</si>
  <si>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</si>
  <si>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</si>
  <si>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</si>
  <si>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</si>
  <si>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</si>
  <si>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</si>
  <si>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</si>
  <si>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</si>
  <si>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</si>
  <si>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</si>
  <si>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</si>
  <si>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</si>
  <si>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</si>
  <si>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</si>
  <si>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</si>
  <si>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</si>
  <si>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</si>
  <si>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</si>
  <si>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</si>
  <si>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</si>
  <si>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</si>
  <si>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</si>
  <si>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</si>
  <si>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</si>
  <si>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</si>
  <si>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</si>
  <si>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</si>
  <si>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</si>
  <si>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</si>
  <si>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</si>
  <si>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</si>
  <si>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</si>
  <si>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</si>
  <si>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</si>
  <si>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</si>
  <si>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</si>
  <si>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</si>
  <si>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</si>
  <si>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</si>
  <si>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</si>
  <si>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</si>
  <si>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</si>
  <si>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</si>
  <si>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</si>
  <si>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</si>
  <si>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</si>
  <si>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</si>
  <si>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</si>
  <si>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</si>
  <si>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</si>
  <si>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</si>
  <si>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</si>
  <si>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</si>
  <si>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</si>
  <si>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</si>
  <si>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</si>
  <si>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</si>
  <si>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</si>
  <si>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</si>
  <si>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</si>
  <si>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</si>
  <si>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</si>
  <si>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</si>
  <si>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</si>
  <si>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</si>
  <si>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</si>
  <si>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</si>
  <si>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</si>
  <si>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</si>
  <si>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</si>
  <si>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</si>
  <si>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</si>
  <si>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</si>
  <si>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</si>
  <si>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</si>
  <si>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</si>
  <si>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</si>
  <si>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</si>
  <si>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</si>
  <si>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</si>
  <si>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</si>
  <si>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</si>
  <si>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</si>
  <si>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</si>
  <si>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</si>
  <si>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</si>
  <si>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</si>
  <si>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</si>
  <si>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</si>
  <si>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</si>
  <si>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</si>
  <si>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</si>
  <si>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</si>
  <si>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</si>
  <si>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</si>
  <si>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</si>
  <si>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</si>
  <si>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</si>
  <si>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</si>
  <si>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</si>
  <si>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</si>
  <si>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</si>
  <si>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</si>
  <si>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</si>
  <si>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</si>
  <si>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</si>
  <si>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</si>
  <si>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</si>
  <si>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</si>
  <si>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</si>
  <si>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</si>
  <si>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</si>
  <si>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</si>
  <si>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</si>
  <si>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</si>
  <si>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</si>
  <si>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</si>
  <si>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</si>
  <si>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</si>
  <si>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</si>
  <si>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</si>
  <si>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</si>
  <si>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</si>
  <si>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</si>
  <si>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</si>
  <si>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</si>
  <si>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</si>
  <si>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</si>
  <si>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</si>
  <si>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</si>
  <si>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</si>
  <si>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</si>
  <si>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</si>
  <si>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</si>
  <si>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</si>
  <si>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</si>
  <si>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</si>
  <si>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</si>
  <si>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</si>
  <si>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</si>
  <si>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</si>
  <si>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</si>
  <si>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</si>
  <si>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</si>
  <si>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</si>
  <si>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</si>
  <si>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</si>
  <si>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</si>
  <si>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</si>
  <si>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</si>
  <si>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</si>
  <si>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</si>
  <si>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</si>
  <si>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</si>
  <si>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</si>
  <si>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</si>
  <si>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</si>
  <si>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</si>
  <si>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</si>
  <si>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</si>
  <si>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</si>
  <si>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</si>
  <si>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</si>
  <si>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</si>
  <si>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</si>
  <si>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</si>
  <si>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</si>
  <si>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</si>
  <si>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</si>
  <si>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</si>
  <si>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</si>
  <si>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</si>
  <si>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</si>
  <si>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</si>
  <si>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</si>
  <si>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</si>
  <si>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</si>
  <si>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</si>
  <si>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</si>
  <si>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</si>
  <si>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</si>
  <si>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</si>
  <si>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</si>
  <si>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</si>
  <si>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</si>
  <si>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</si>
  <si>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</si>
  <si>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</si>
  <si>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</si>
  <si>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</si>
  <si>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</si>
  <si>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</si>
  <si>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</si>
  <si>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</si>
  <si>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</si>
  <si>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</si>
  <si>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</si>
  <si>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</si>
  <si>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</si>
  <si>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</si>
  <si>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</si>
  <si>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</si>
  <si>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</si>
  <si>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</si>
  <si>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</si>
  <si>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</si>
  <si>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</si>
  <si>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</si>
  <si>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</si>
  <si>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</si>
  <si>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</si>
  <si>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</si>
  <si>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</si>
  <si>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</si>
  <si>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</si>
  <si>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</si>
  <si>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</si>
  <si>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</si>
  <si>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</si>
  <si>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</si>
  <si>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</si>
  <si>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</si>
  <si>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</si>
  <si>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</si>
  <si>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</si>
  <si>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11038</t>
  </si>
  <si>
    <t>SCHELLE</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</si>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</sst>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56877.120664626833</c:v>
                </c:pt>
                <c:pt idx="1">
                  <c:v>29495.740606483094</c:v>
                </c:pt>
                <c:pt idx="2">
                  <c:v>415.46499999999997</c:v>
                </c:pt>
                <c:pt idx="3">
                  <c:v>1813.6896364474358</c:v>
                </c:pt>
                <c:pt idx="4">
                  <c:v>5999.5441918753359</c:v>
                </c:pt>
                <c:pt idx="5">
                  <c:v>66948.673218807278</c:v>
                </c:pt>
                <c:pt idx="6">
                  <c:v>679.24802588655575</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90417920"/>
        <c:axId val="190419712"/>
      </c:barChart>
      <c:catAx>
        <c:axId val="190417920"/>
        <c:scaling>
          <c:orientation val="minMax"/>
        </c:scaling>
        <c:axPos val="b"/>
        <c:numFmt formatCode="General" sourceLinked="0"/>
        <c:tickLblPos val="nextTo"/>
        <c:crossAx val="190419712"/>
        <c:crosses val="autoZero"/>
        <c:auto val="1"/>
        <c:lblAlgn val="ctr"/>
        <c:lblOffset val="100"/>
      </c:catAx>
      <c:valAx>
        <c:axId val="190419712"/>
        <c:scaling>
          <c:orientation val="minMax"/>
        </c:scaling>
        <c:axPos val="l"/>
        <c:majorGridlines/>
        <c:numFmt formatCode="#,##0" sourceLinked="1"/>
        <c:tickLblPos val="nextTo"/>
        <c:crossAx val="19041792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56877.120664626833</c:v>
                </c:pt>
                <c:pt idx="1">
                  <c:v>29495.740606483094</c:v>
                </c:pt>
                <c:pt idx="2">
                  <c:v>415.46499999999997</c:v>
                </c:pt>
                <c:pt idx="3">
                  <c:v>1813.6896364474358</c:v>
                </c:pt>
                <c:pt idx="4">
                  <c:v>5999.5441918753359</c:v>
                </c:pt>
                <c:pt idx="5">
                  <c:v>66948.673218807278</c:v>
                </c:pt>
                <c:pt idx="6">
                  <c:v>679.24802588655575</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9997.0902375631849</c:v>
                </c:pt>
                <c:pt idx="1">
                  <c:v>5191.7056951269924</c:v>
                </c:pt>
                <c:pt idx="2">
                  <c:v>60.552119618730643</c:v>
                </c:pt>
                <c:pt idx="3">
                  <c:v>410.17868341334315</c:v>
                </c:pt>
                <c:pt idx="4">
                  <c:v>1111.1707954876624</c:v>
                </c:pt>
                <c:pt idx="5">
                  <c:v>16788.589103092283</c:v>
                </c:pt>
                <c:pt idx="6">
                  <c:v>171.61239639264082</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913280"/>
        <c:axId val="183001088"/>
      </c:barChart>
      <c:catAx>
        <c:axId val="182913280"/>
        <c:scaling>
          <c:orientation val="minMax"/>
        </c:scaling>
        <c:axPos val="b"/>
        <c:numFmt formatCode="General" sourceLinked="0"/>
        <c:tickLblPos val="nextTo"/>
        <c:crossAx val="183001088"/>
        <c:crosses val="autoZero"/>
        <c:auto val="1"/>
        <c:lblAlgn val="ctr"/>
        <c:lblOffset val="100"/>
      </c:catAx>
      <c:valAx>
        <c:axId val="183001088"/>
        <c:scaling>
          <c:orientation val="minMax"/>
        </c:scaling>
        <c:axPos val="l"/>
        <c:majorGridlines/>
        <c:numFmt formatCode="#,##0" sourceLinked="1"/>
        <c:tickLblPos val="nextTo"/>
        <c:crossAx val="18291328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9997.0902375631849</c:v>
                </c:pt>
                <c:pt idx="1">
                  <c:v>5191.7056951269924</c:v>
                </c:pt>
                <c:pt idx="2">
                  <c:v>60.552119618730643</c:v>
                </c:pt>
                <c:pt idx="3">
                  <c:v>410.17868341334315</c:v>
                </c:pt>
                <c:pt idx="4">
                  <c:v>1111.1707954876624</c:v>
                </c:pt>
                <c:pt idx="5">
                  <c:v>16788.589103092283</c:v>
                </c:pt>
                <c:pt idx="6">
                  <c:v>171.61239639264082</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11038</v>
      </c>
      <c r="B6" s="415"/>
      <c r="C6" s="416"/>
    </row>
    <row r="7" spans="1:7" s="413" customFormat="1" ht="15.75" customHeight="1">
      <c r="A7" s="417" t="str">
        <f>txtMunicipality</f>
        <v>SCHELLE</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12589.649472361161</v>
      </c>
      <c r="D10" s="718">
        <f ca="1">tertiair!C16</f>
        <v>0</v>
      </c>
      <c r="E10" s="718">
        <f ca="1">tertiair!D16</f>
        <v>13874.458073916114</v>
      </c>
      <c r="F10" s="718">
        <f>tertiair!E16</f>
        <v>193.02329906395309</v>
      </c>
      <c r="G10" s="718">
        <f ca="1">tertiair!F16</f>
        <v>2138.2297366330558</v>
      </c>
      <c r="H10" s="718">
        <f>tertiair!G16</f>
        <v>0</v>
      </c>
      <c r="I10" s="718">
        <f>tertiair!H16</f>
        <v>0</v>
      </c>
      <c r="J10" s="718">
        <f>tertiair!I16</f>
        <v>0</v>
      </c>
      <c r="K10" s="718">
        <f>tertiair!J16</f>
        <v>2.8092330337602913E-2</v>
      </c>
      <c r="L10" s="718">
        <f>tertiair!K16</f>
        <v>0</v>
      </c>
      <c r="M10" s="718">
        <f ca="1">tertiair!L16</f>
        <v>0</v>
      </c>
      <c r="N10" s="718">
        <f>tertiair!M16</f>
        <v>0</v>
      </c>
      <c r="O10" s="718">
        <f ca="1">tertiair!N16</f>
        <v>1115.8169321784731</v>
      </c>
      <c r="P10" s="718">
        <f>tertiair!O16</f>
        <v>0</v>
      </c>
      <c r="Q10" s="719">
        <f>tertiair!P16</f>
        <v>0</v>
      </c>
      <c r="R10" s="721">
        <f ca="1">SUM(C10:Q10)</f>
        <v>29911.205606483094</v>
      </c>
      <c r="S10" s="67"/>
    </row>
    <row r="11" spans="1:19" s="474" customFormat="1">
      <c r="A11" s="870" t="s">
        <v>225</v>
      </c>
      <c r="B11" s="875"/>
      <c r="C11" s="718">
        <f>huishoudens!B8</f>
        <v>14213.77616956362</v>
      </c>
      <c r="D11" s="718">
        <f>huishoudens!C8</f>
        <v>0</v>
      </c>
      <c r="E11" s="718">
        <f>huishoudens!D8</f>
        <v>38851.334876029759</v>
      </c>
      <c r="F11" s="718">
        <f>huishoudens!E8</f>
        <v>341.53242077123519</v>
      </c>
      <c r="G11" s="718">
        <f>huishoudens!F8</f>
        <v>0</v>
      </c>
      <c r="H11" s="718">
        <f>huishoudens!G8</f>
        <v>0</v>
      </c>
      <c r="I11" s="718">
        <f>huishoudens!H8</f>
        <v>0</v>
      </c>
      <c r="J11" s="718">
        <f>huishoudens!I8</f>
        <v>0</v>
      </c>
      <c r="K11" s="718">
        <f>huishoudens!J8</f>
        <v>0</v>
      </c>
      <c r="L11" s="718">
        <f>huishoudens!K8</f>
        <v>0</v>
      </c>
      <c r="M11" s="718">
        <f>huishoudens!L8</f>
        <v>0</v>
      </c>
      <c r="N11" s="718">
        <f>huishoudens!M8</f>
        <v>0</v>
      </c>
      <c r="O11" s="718">
        <f>huishoudens!N8</f>
        <v>3103.7971982622184</v>
      </c>
      <c r="P11" s="718">
        <f>huishoudens!O8</f>
        <v>118.81333333333333</v>
      </c>
      <c r="Q11" s="719">
        <f>huishoudens!P8</f>
        <v>247.86666666666667</v>
      </c>
      <c r="R11" s="721">
        <f>SUM(C11:Q11)</f>
        <v>56877.120664626833</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1467.2385354466899</v>
      </c>
      <c r="D13" s="718">
        <f>industrie!C18</f>
        <v>0</v>
      </c>
      <c r="E13" s="718">
        <f>industrie!D18</f>
        <v>3254.0499654099008</v>
      </c>
      <c r="F13" s="718">
        <f>industrie!E18</f>
        <v>238.8515253012346</v>
      </c>
      <c r="G13" s="718">
        <f>industrie!F18</f>
        <v>694.4412898835368</v>
      </c>
      <c r="H13" s="718">
        <f>industrie!G18</f>
        <v>0</v>
      </c>
      <c r="I13" s="718">
        <f>industrie!H18</f>
        <v>0</v>
      </c>
      <c r="J13" s="718">
        <f>industrie!I18</f>
        <v>0</v>
      </c>
      <c r="K13" s="718">
        <f>industrie!J18</f>
        <v>1.0573159330007178</v>
      </c>
      <c r="L13" s="718">
        <f>industrie!K18</f>
        <v>0</v>
      </c>
      <c r="M13" s="718">
        <f>industrie!L18</f>
        <v>0</v>
      </c>
      <c r="N13" s="718">
        <f>industrie!M18</f>
        <v>0</v>
      </c>
      <c r="O13" s="718">
        <f>industrie!N18</f>
        <v>343.90555990097232</v>
      </c>
      <c r="P13" s="718">
        <f>industrie!O18</f>
        <v>0</v>
      </c>
      <c r="Q13" s="719">
        <f>industrie!P18</f>
        <v>0</v>
      </c>
      <c r="R13" s="721">
        <f>SUM(C13:Q13)</f>
        <v>5999.5441918753359</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28270.664177371473</v>
      </c>
      <c r="D15" s="723">
        <f t="shared" ref="D15:Q15" ca="1" si="0">SUM(D9:D14)</f>
        <v>0</v>
      </c>
      <c r="E15" s="723">
        <f t="shared" ca="1" si="0"/>
        <v>55979.842915355774</v>
      </c>
      <c r="F15" s="723">
        <f t="shared" si="0"/>
        <v>773.40724513642283</v>
      </c>
      <c r="G15" s="723">
        <f t="shared" ca="1" si="0"/>
        <v>2832.6710265165925</v>
      </c>
      <c r="H15" s="723">
        <f t="shared" si="0"/>
        <v>0</v>
      </c>
      <c r="I15" s="723">
        <f t="shared" si="0"/>
        <v>0</v>
      </c>
      <c r="J15" s="723">
        <f t="shared" si="0"/>
        <v>0</v>
      </c>
      <c r="K15" s="723">
        <f t="shared" si="0"/>
        <v>1.0854082633383206</v>
      </c>
      <c r="L15" s="723">
        <f t="shared" si="0"/>
        <v>0</v>
      </c>
      <c r="M15" s="723">
        <f t="shared" ca="1" si="0"/>
        <v>0</v>
      </c>
      <c r="N15" s="723">
        <f t="shared" si="0"/>
        <v>0</v>
      </c>
      <c r="O15" s="723">
        <f t="shared" ca="1" si="0"/>
        <v>4563.5196903416645</v>
      </c>
      <c r="P15" s="723">
        <f t="shared" si="0"/>
        <v>118.81333333333333</v>
      </c>
      <c r="Q15" s="724">
        <f t="shared" si="0"/>
        <v>247.86666666666667</v>
      </c>
      <c r="R15" s="725">
        <f ca="1">SUM(R9:R14)</f>
        <v>92787.870462985258</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642.74305765034012</v>
      </c>
      <c r="I18" s="718">
        <f>transport!H54</f>
        <v>0</v>
      </c>
      <c r="J18" s="718">
        <f>transport!I54</f>
        <v>0</v>
      </c>
      <c r="K18" s="718">
        <f>transport!J54</f>
        <v>0</v>
      </c>
      <c r="L18" s="718">
        <f>transport!K54</f>
        <v>0</v>
      </c>
      <c r="M18" s="718">
        <f>transport!L54</f>
        <v>0</v>
      </c>
      <c r="N18" s="718">
        <f>transport!M54</f>
        <v>36.504968236215667</v>
      </c>
      <c r="O18" s="718">
        <f>transport!N54</f>
        <v>0</v>
      </c>
      <c r="P18" s="718">
        <f>transport!O54</f>
        <v>0</v>
      </c>
      <c r="Q18" s="719">
        <f>transport!P54</f>
        <v>0</v>
      </c>
      <c r="R18" s="721">
        <f>SUM(C18:Q18)</f>
        <v>679.24802588655575</v>
      </c>
      <c r="S18" s="67"/>
    </row>
    <row r="19" spans="1:19" s="474" customFormat="1" ht="15" thickBot="1">
      <c r="A19" s="870" t="s">
        <v>307</v>
      </c>
      <c r="B19" s="875"/>
      <c r="C19" s="727">
        <f>transport!B14</f>
        <v>23.80120259872367</v>
      </c>
      <c r="D19" s="727">
        <f>transport!C14</f>
        <v>0</v>
      </c>
      <c r="E19" s="727">
        <f>transport!D14</f>
        <v>74.658872492061363</v>
      </c>
      <c r="F19" s="727">
        <f>transport!E14</f>
        <v>101.4383966722495</v>
      </c>
      <c r="G19" s="727">
        <f>transport!F14</f>
        <v>0</v>
      </c>
      <c r="H19" s="727">
        <f>transport!G14</f>
        <v>54816.633350129036</v>
      </c>
      <c r="I19" s="727">
        <f>transport!H14</f>
        <v>8477.79708483992</v>
      </c>
      <c r="J19" s="727">
        <f>transport!I14</f>
        <v>0</v>
      </c>
      <c r="K19" s="727">
        <f>transport!J14</f>
        <v>0</v>
      </c>
      <c r="L19" s="727">
        <f>transport!K14</f>
        <v>0</v>
      </c>
      <c r="M19" s="727">
        <f>transport!L14</f>
        <v>0</v>
      </c>
      <c r="N19" s="727">
        <f>transport!M14</f>
        <v>3454.3443120752786</v>
      </c>
      <c r="O19" s="727">
        <f>transport!N14</f>
        <v>0</v>
      </c>
      <c r="P19" s="727">
        <f>transport!O14</f>
        <v>0</v>
      </c>
      <c r="Q19" s="728">
        <f>transport!P14</f>
        <v>0</v>
      </c>
      <c r="R19" s="729">
        <f>SUM(C19:Q19)</f>
        <v>66948.673218807278</v>
      </c>
      <c r="S19" s="67"/>
    </row>
    <row r="20" spans="1:19" s="474" customFormat="1" ht="15.75" thickBot="1">
      <c r="A20" s="730" t="s">
        <v>230</v>
      </c>
      <c r="B20" s="878"/>
      <c r="C20" s="873">
        <f>SUM(C17:C19)</f>
        <v>23.80120259872367</v>
      </c>
      <c r="D20" s="731">
        <f t="shared" ref="D20:R20" si="1">SUM(D17:D19)</f>
        <v>0</v>
      </c>
      <c r="E20" s="731">
        <f t="shared" si="1"/>
        <v>74.658872492061363</v>
      </c>
      <c r="F20" s="731">
        <f t="shared" si="1"/>
        <v>101.4383966722495</v>
      </c>
      <c r="G20" s="731">
        <f t="shared" si="1"/>
        <v>0</v>
      </c>
      <c r="H20" s="731">
        <f t="shared" si="1"/>
        <v>55459.376407779375</v>
      </c>
      <c r="I20" s="731">
        <f t="shared" si="1"/>
        <v>8477.79708483992</v>
      </c>
      <c r="J20" s="731">
        <f t="shared" si="1"/>
        <v>0</v>
      </c>
      <c r="K20" s="731">
        <f t="shared" si="1"/>
        <v>0</v>
      </c>
      <c r="L20" s="731">
        <f t="shared" si="1"/>
        <v>0</v>
      </c>
      <c r="M20" s="731">
        <f t="shared" si="1"/>
        <v>0</v>
      </c>
      <c r="N20" s="731">
        <f t="shared" si="1"/>
        <v>3490.8492803114941</v>
      </c>
      <c r="O20" s="731">
        <f t="shared" si="1"/>
        <v>0</v>
      </c>
      <c r="P20" s="731">
        <f t="shared" si="1"/>
        <v>0</v>
      </c>
      <c r="Q20" s="732">
        <f t="shared" si="1"/>
        <v>0</v>
      </c>
      <c r="R20" s="733">
        <f t="shared" si="1"/>
        <v>67627.921244693833</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184.6419862377868</v>
      </c>
      <c r="D22" s="727">
        <f>+landbouw!C8</f>
        <v>0</v>
      </c>
      <c r="E22" s="727">
        <f>+landbouw!D8</f>
        <v>827.66126256120913</v>
      </c>
      <c r="F22" s="727">
        <f>+landbouw!E8</f>
        <v>5.4271919372478301</v>
      </c>
      <c r="G22" s="727">
        <f>+landbouw!F8</f>
        <v>769.20853713738074</v>
      </c>
      <c r="H22" s="727">
        <f>+landbouw!G8</f>
        <v>0</v>
      </c>
      <c r="I22" s="727">
        <f>+landbouw!H8</f>
        <v>0</v>
      </c>
      <c r="J22" s="727">
        <f>+landbouw!I8</f>
        <v>0</v>
      </c>
      <c r="K22" s="727">
        <f>+landbouw!J8</f>
        <v>26.75065857381129</v>
      </c>
      <c r="L22" s="727">
        <f>+landbouw!K8</f>
        <v>0</v>
      </c>
      <c r="M22" s="727">
        <f>+landbouw!L8</f>
        <v>0</v>
      </c>
      <c r="N22" s="727">
        <f>+landbouw!M8</f>
        <v>0</v>
      </c>
      <c r="O22" s="727">
        <f>+landbouw!N8</f>
        <v>0</v>
      </c>
      <c r="P22" s="727">
        <f>+landbouw!O8</f>
        <v>0</v>
      </c>
      <c r="Q22" s="728">
        <f>+landbouw!P8</f>
        <v>0</v>
      </c>
      <c r="R22" s="729">
        <f>SUM(C22:Q22)</f>
        <v>1813.6896364474358</v>
      </c>
      <c r="S22" s="67"/>
    </row>
    <row r="23" spans="1:19" s="474" customFormat="1" ht="17.25" thickTop="1" thickBot="1">
      <c r="A23" s="734" t="s">
        <v>116</v>
      </c>
      <c r="B23" s="864"/>
      <c r="C23" s="735">
        <f ca="1">C20+C15+C22</f>
        <v>28479.107366207983</v>
      </c>
      <c r="D23" s="735">
        <f t="shared" ref="D23:Q23" ca="1" si="2">D20+D15+D22</f>
        <v>0</v>
      </c>
      <c r="E23" s="735">
        <f t="shared" ca="1" si="2"/>
        <v>56882.163050409043</v>
      </c>
      <c r="F23" s="735">
        <f t="shared" si="2"/>
        <v>880.27283374592014</v>
      </c>
      <c r="G23" s="735">
        <f t="shared" ca="1" si="2"/>
        <v>3601.8795636539735</v>
      </c>
      <c r="H23" s="735">
        <f t="shared" si="2"/>
        <v>55459.376407779375</v>
      </c>
      <c r="I23" s="735">
        <f t="shared" si="2"/>
        <v>8477.79708483992</v>
      </c>
      <c r="J23" s="735">
        <f t="shared" si="2"/>
        <v>0</v>
      </c>
      <c r="K23" s="735">
        <f t="shared" si="2"/>
        <v>27.836066837149609</v>
      </c>
      <c r="L23" s="735">
        <f t="shared" si="2"/>
        <v>0</v>
      </c>
      <c r="M23" s="735">
        <f t="shared" ca="1" si="2"/>
        <v>0</v>
      </c>
      <c r="N23" s="735">
        <f t="shared" si="2"/>
        <v>3490.8492803114941</v>
      </c>
      <c r="O23" s="735">
        <f t="shared" ca="1" si="2"/>
        <v>4563.5196903416645</v>
      </c>
      <c r="P23" s="735">
        <f t="shared" si="2"/>
        <v>118.81333333333333</v>
      </c>
      <c r="Q23" s="736">
        <f t="shared" si="2"/>
        <v>247.86666666666667</v>
      </c>
      <c r="R23" s="737">
        <f ca="1">R20+R15+R22</f>
        <v>162229.48134412654</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1834.8837105611835</v>
      </c>
      <c r="D36" s="718">
        <f ca="1">tertiair!C20</f>
        <v>0</v>
      </c>
      <c r="E36" s="718">
        <f ca="1">tertiair!D20</f>
        <v>2802.6405309310553</v>
      </c>
      <c r="F36" s="718">
        <f>tertiair!E20</f>
        <v>43.816288887517352</v>
      </c>
      <c r="G36" s="718">
        <f ca="1">tertiair!F20</f>
        <v>570.90733968102597</v>
      </c>
      <c r="H36" s="718">
        <f>tertiair!G20</f>
        <v>0</v>
      </c>
      <c r="I36" s="718">
        <f>tertiair!H20</f>
        <v>0</v>
      </c>
      <c r="J36" s="718">
        <f>tertiair!I20</f>
        <v>0</v>
      </c>
      <c r="K36" s="718">
        <f>tertiair!J20</f>
        <v>9.944684939511431E-3</v>
      </c>
      <c r="L36" s="718">
        <f>tertiair!K20</f>
        <v>0</v>
      </c>
      <c r="M36" s="718">
        <f ca="1">tertiair!L20</f>
        <v>0</v>
      </c>
      <c r="N36" s="718">
        <f>tertiair!M20</f>
        <v>0</v>
      </c>
      <c r="O36" s="718">
        <f ca="1">tertiair!N20</f>
        <v>0</v>
      </c>
      <c r="P36" s="718">
        <f>tertiair!O20</f>
        <v>0</v>
      </c>
      <c r="Q36" s="828">
        <f>tertiair!P20</f>
        <v>0</v>
      </c>
      <c r="R36" s="917">
        <f ca="1">SUM(C36:Q36)</f>
        <v>5252.2578147457225</v>
      </c>
    </row>
    <row r="37" spans="1:18">
      <c r="A37" s="885" t="s">
        <v>225</v>
      </c>
      <c r="B37" s="892"/>
      <c r="C37" s="718">
        <f ca="1">huishoudens!B12</f>
        <v>2071.5927330901022</v>
      </c>
      <c r="D37" s="718">
        <f ca="1">huishoudens!C12</f>
        <v>0</v>
      </c>
      <c r="E37" s="718">
        <f>huishoudens!D12</f>
        <v>7847.9696449580115</v>
      </c>
      <c r="F37" s="718">
        <f>huishoudens!E12</f>
        <v>77.527859515070389</v>
      </c>
      <c r="G37" s="718">
        <f>huishoudens!F12</f>
        <v>0</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9997.0902375631849</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213.84329199229569</v>
      </c>
      <c r="D39" s="718">
        <f ca="1">industrie!C22</f>
        <v>0</v>
      </c>
      <c r="E39" s="718">
        <f>industrie!D22</f>
        <v>657.31809301279998</v>
      </c>
      <c r="F39" s="718">
        <f>industrie!E22</f>
        <v>54.219296243380256</v>
      </c>
      <c r="G39" s="718">
        <f>industrie!F22</f>
        <v>185.41582439890433</v>
      </c>
      <c r="H39" s="718">
        <f>industrie!G22</f>
        <v>0</v>
      </c>
      <c r="I39" s="718">
        <f>industrie!H22</f>
        <v>0</v>
      </c>
      <c r="J39" s="718">
        <f>industrie!I22</f>
        <v>0</v>
      </c>
      <c r="K39" s="718">
        <f>industrie!J22</f>
        <v>0.37428984028225409</v>
      </c>
      <c r="L39" s="718">
        <f>industrie!K22</f>
        <v>0</v>
      </c>
      <c r="M39" s="718">
        <f>industrie!L22</f>
        <v>0</v>
      </c>
      <c r="N39" s="718">
        <f>industrie!M22</f>
        <v>0</v>
      </c>
      <c r="O39" s="718">
        <f>industrie!N22</f>
        <v>0</v>
      </c>
      <c r="P39" s="718">
        <f>industrie!O22</f>
        <v>0</v>
      </c>
      <c r="Q39" s="828">
        <f>industrie!P22</f>
        <v>0</v>
      </c>
      <c r="R39" s="918">
        <f ca="1">SUM(C39:Q39)</f>
        <v>1111.1707954876624</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4120.3197356435812</v>
      </c>
      <c r="D41" s="763">
        <f t="shared" ref="D41:R41" ca="1" si="4">SUM(D35:D40)</f>
        <v>0</v>
      </c>
      <c r="E41" s="763">
        <f t="shared" ca="1" si="4"/>
        <v>11307.928268901867</v>
      </c>
      <c r="F41" s="763">
        <f t="shared" si="4"/>
        <v>175.56344464596799</v>
      </c>
      <c r="G41" s="763">
        <f t="shared" ca="1" si="4"/>
        <v>756.32316407993028</v>
      </c>
      <c r="H41" s="763">
        <f t="shared" si="4"/>
        <v>0</v>
      </c>
      <c r="I41" s="763">
        <f t="shared" si="4"/>
        <v>0</v>
      </c>
      <c r="J41" s="763">
        <f t="shared" si="4"/>
        <v>0</v>
      </c>
      <c r="K41" s="763">
        <f t="shared" si="4"/>
        <v>0.38423452522176554</v>
      </c>
      <c r="L41" s="763">
        <f t="shared" si="4"/>
        <v>0</v>
      </c>
      <c r="M41" s="763">
        <f t="shared" ca="1" si="4"/>
        <v>0</v>
      </c>
      <c r="N41" s="763">
        <f t="shared" si="4"/>
        <v>0</v>
      </c>
      <c r="O41" s="763">
        <f t="shared" ca="1" si="4"/>
        <v>0</v>
      </c>
      <c r="P41" s="763">
        <f t="shared" si="4"/>
        <v>0</v>
      </c>
      <c r="Q41" s="764">
        <f t="shared" si="4"/>
        <v>0</v>
      </c>
      <c r="R41" s="765">
        <f t="shared" ca="1" si="4"/>
        <v>16360.518847796569</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171.61239639264082</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171.61239639264082</v>
      </c>
    </row>
    <row r="45" spans="1:18" ht="15" thickBot="1">
      <c r="A45" s="888" t="s">
        <v>307</v>
      </c>
      <c r="B45" s="898"/>
      <c r="C45" s="727">
        <f ca="1">transport!B18</f>
        <v>3.4689161946916309</v>
      </c>
      <c r="D45" s="727">
        <f>transport!C18</f>
        <v>0</v>
      </c>
      <c r="E45" s="727">
        <f>transport!D18</f>
        <v>15.081092243396396</v>
      </c>
      <c r="F45" s="727">
        <f>transport!E18</f>
        <v>23.026516044600637</v>
      </c>
      <c r="G45" s="727">
        <f>transport!F18</f>
        <v>0</v>
      </c>
      <c r="H45" s="727">
        <f>transport!G18</f>
        <v>14636.041104484453</v>
      </c>
      <c r="I45" s="727">
        <f>transport!H18</f>
        <v>2110.97147412514</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16788.589103092283</v>
      </c>
    </row>
    <row r="46" spans="1:18" ht="15.75" thickBot="1">
      <c r="A46" s="886" t="s">
        <v>230</v>
      </c>
      <c r="B46" s="899"/>
      <c r="C46" s="763">
        <f t="shared" ref="C46:R46" ca="1" si="5">SUM(C43:C45)</f>
        <v>3.4689161946916309</v>
      </c>
      <c r="D46" s="763">
        <f t="shared" ca="1" si="5"/>
        <v>0</v>
      </c>
      <c r="E46" s="763">
        <f t="shared" si="5"/>
        <v>15.081092243396396</v>
      </c>
      <c r="F46" s="763">
        <f t="shared" si="5"/>
        <v>23.026516044600637</v>
      </c>
      <c r="G46" s="763">
        <f t="shared" si="5"/>
        <v>0</v>
      </c>
      <c r="H46" s="763">
        <f t="shared" si="5"/>
        <v>14807.653500877093</v>
      </c>
      <c r="I46" s="763">
        <f t="shared" si="5"/>
        <v>2110.97147412514</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16960.201499484923</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26.910723255413775</v>
      </c>
      <c r="D48" s="718">
        <f ca="1">+landbouw!C12</f>
        <v>0</v>
      </c>
      <c r="E48" s="718">
        <f>+landbouw!D12</f>
        <v>167.18757503736424</v>
      </c>
      <c r="F48" s="718">
        <f>+landbouw!E12</f>
        <v>1.2319725697552575</v>
      </c>
      <c r="G48" s="718">
        <f>+landbouw!F12</f>
        <v>205.37867941568066</v>
      </c>
      <c r="H48" s="718">
        <f>+landbouw!G12</f>
        <v>0</v>
      </c>
      <c r="I48" s="718">
        <f>+landbouw!H12</f>
        <v>0</v>
      </c>
      <c r="J48" s="718">
        <f>+landbouw!I12</f>
        <v>0</v>
      </c>
      <c r="K48" s="718">
        <f>+landbouw!J12</f>
        <v>9.4697331351291965</v>
      </c>
      <c r="L48" s="718">
        <f>+landbouw!K12</f>
        <v>0</v>
      </c>
      <c r="M48" s="718">
        <f>+landbouw!L12</f>
        <v>0</v>
      </c>
      <c r="N48" s="718">
        <f>+landbouw!M12</f>
        <v>0</v>
      </c>
      <c r="O48" s="718">
        <f>+landbouw!N12</f>
        <v>0</v>
      </c>
      <c r="P48" s="718">
        <f>+landbouw!O12</f>
        <v>0</v>
      </c>
      <c r="Q48" s="719">
        <f>+landbouw!P12</f>
        <v>0</v>
      </c>
      <c r="R48" s="761">
        <f ca="1">SUM(C48:Q48)</f>
        <v>410.17868341334315</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4150.6993750936863</v>
      </c>
      <c r="D53" s="773">
        <f t="shared" ref="D53:Q53" ca="1" si="6">D41+D46+D48</f>
        <v>0</v>
      </c>
      <c r="E53" s="773">
        <f t="shared" ca="1" si="6"/>
        <v>11490.196936182627</v>
      </c>
      <c r="F53" s="773">
        <f t="shared" si="6"/>
        <v>199.8219332603239</v>
      </c>
      <c r="G53" s="773">
        <f t="shared" ca="1" si="6"/>
        <v>961.701843495611</v>
      </c>
      <c r="H53" s="773">
        <f t="shared" si="6"/>
        <v>14807.653500877093</v>
      </c>
      <c r="I53" s="773">
        <f t="shared" si="6"/>
        <v>2110.97147412514</v>
      </c>
      <c r="J53" s="773">
        <f t="shared" si="6"/>
        <v>0</v>
      </c>
      <c r="K53" s="773">
        <f t="shared" si="6"/>
        <v>9.8539676603509623</v>
      </c>
      <c r="L53" s="773">
        <f t="shared" si="6"/>
        <v>0</v>
      </c>
      <c r="M53" s="773">
        <f t="shared" ca="1" si="6"/>
        <v>0</v>
      </c>
      <c r="N53" s="773">
        <f t="shared" si="6"/>
        <v>0</v>
      </c>
      <c r="O53" s="773">
        <f t="shared" ca="1" si="6"/>
        <v>0</v>
      </c>
      <c r="P53" s="773">
        <f>P41+P46+P48</f>
        <v>0</v>
      </c>
      <c r="Q53" s="774">
        <f t="shared" si="6"/>
        <v>0</v>
      </c>
      <c r="R53" s="775">
        <f ca="1">R41+R46+R48</f>
        <v>33730.89903069484</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0.1457454168671985</v>
      </c>
      <c r="D55" s="836">
        <f t="shared" ca="1" si="7"/>
        <v>0</v>
      </c>
      <c r="E55" s="836">
        <f t="shared" ca="1" si="7"/>
        <v>0.20200000000000001</v>
      </c>
      <c r="F55" s="836">
        <f t="shared" si="7"/>
        <v>0.22700000000000004</v>
      </c>
      <c r="G55" s="836">
        <f t="shared" ca="1" si="7"/>
        <v>0.26700000000000002</v>
      </c>
      <c r="H55" s="836">
        <f t="shared" si="7"/>
        <v>0.26700000000000002</v>
      </c>
      <c r="I55" s="836">
        <f t="shared" si="7"/>
        <v>0.249</v>
      </c>
      <c r="J55" s="836">
        <f t="shared" si="7"/>
        <v>0</v>
      </c>
      <c r="K55" s="836">
        <f t="shared" si="7"/>
        <v>0.35400000000000004</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7750.5909595559906</v>
      </c>
      <c r="C64" s="795">
        <f>'lokale energieproductie'!B4</f>
        <v>7750.5909595559906</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1947.0712704814648</v>
      </c>
      <c r="C66" s="795">
        <f>'lokale energieproductie'!B6</f>
        <v>1947.0712704814648</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9697.6622300374547</v>
      </c>
      <c r="C69" s="803">
        <f>SUM(C64:C68)</f>
        <v>9697.6622300374547</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14213.77616956362</v>
      </c>
      <c r="C4" s="478">
        <f>huishoudens!C8</f>
        <v>0</v>
      </c>
      <c r="D4" s="478">
        <f>huishoudens!D8</f>
        <v>38851.334876029759</v>
      </c>
      <c r="E4" s="478">
        <f>huishoudens!E8</f>
        <v>341.53242077123519</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3103.7971982622184</v>
      </c>
      <c r="O4" s="478">
        <f>huishoudens!O8</f>
        <v>118.81333333333333</v>
      </c>
      <c r="P4" s="479">
        <f>huishoudens!P8</f>
        <v>247.86666666666667</v>
      </c>
      <c r="Q4" s="480">
        <f>SUM(B4:P4)</f>
        <v>56877.120664626833</v>
      </c>
    </row>
    <row r="5" spans="1:17">
      <c r="A5" s="477" t="s">
        <v>156</v>
      </c>
      <c r="B5" s="478">
        <f ca="1">tertiair!B16</f>
        <v>12174.184472361161</v>
      </c>
      <c r="C5" s="478">
        <f ca="1">tertiair!C16</f>
        <v>0</v>
      </c>
      <c r="D5" s="478">
        <f ca="1">tertiair!D16</f>
        <v>13874.458073916114</v>
      </c>
      <c r="E5" s="478">
        <f>tertiair!E16</f>
        <v>193.02329906395309</v>
      </c>
      <c r="F5" s="478">
        <f ca="1">tertiair!F16</f>
        <v>2138.2297366330558</v>
      </c>
      <c r="G5" s="478">
        <f>tertiair!G16</f>
        <v>0</v>
      </c>
      <c r="H5" s="478">
        <f>tertiair!H16</f>
        <v>0</v>
      </c>
      <c r="I5" s="478">
        <f>tertiair!I16</f>
        <v>0</v>
      </c>
      <c r="J5" s="478">
        <f>tertiair!J16</f>
        <v>2.8092330337602913E-2</v>
      </c>
      <c r="K5" s="478">
        <f>tertiair!K16</f>
        <v>0</v>
      </c>
      <c r="L5" s="478">
        <f ca="1">tertiair!L16</f>
        <v>0</v>
      </c>
      <c r="M5" s="478">
        <f>tertiair!M16</f>
        <v>0</v>
      </c>
      <c r="N5" s="478">
        <f ca="1">tertiair!N16</f>
        <v>1115.8169321784731</v>
      </c>
      <c r="O5" s="478">
        <f>tertiair!O16</f>
        <v>0</v>
      </c>
      <c r="P5" s="479">
        <f>tertiair!P16</f>
        <v>0</v>
      </c>
      <c r="Q5" s="477">
        <f t="shared" ref="Q5:Q13" ca="1" si="0">SUM(B5:P5)</f>
        <v>29495.740606483094</v>
      </c>
    </row>
    <row r="6" spans="1:17">
      <c r="A6" s="477" t="s">
        <v>194</v>
      </c>
      <c r="B6" s="478">
        <f>'openbare verlichting'!B8</f>
        <v>415.46499999999997</v>
      </c>
      <c r="C6" s="478"/>
      <c r="D6" s="478"/>
      <c r="E6" s="478"/>
      <c r="F6" s="478"/>
      <c r="G6" s="478"/>
      <c r="H6" s="478"/>
      <c r="I6" s="478"/>
      <c r="J6" s="478"/>
      <c r="K6" s="478"/>
      <c r="L6" s="478"/>
      <c r="M6" s="478"/>
      <c r="N6" s="478"/>
      <c r="O6" s="478"/>
      <c r="P6" s="479"/>
      <c r="Q6" s="477">
        <f t="shared" si="0"/>
        <v>415.46499999999997</v>
      </c>
    </row>
    <row r="7" spans="1:17">
      <c r="A7" s="477" t="s">
        <v>112</v>
      </c>
      <c r="B7" s="478">
        <f>landbouw!B8</f>
        <v>184.6419862377868</v>
      </c>
      <c r="C7" s="478">
        <f>landbouw!C8</f>
        <v>0</v>
      </c>
      <c r="D7" s="478">
        <f>landbouw!D8</f>
        <v>827.66126256120913</v>
      </c>
      <c r="E7" s="478">
        <f>landbouw!E8</f>
        <v>5.4271919372478301</v>
      </c>
      <c r="F7" s="478">
        <f>landbouw!F8</f>
        <v>769.20853713738074</v>
      </c>
      <c r="G7" s="478">
        <f>landbouw!G8</f>
        <v>0</v>
      </c>
      <c r="H7" s="478">
        <f>landbouw!H8</f>
        <v>0</v>
      </c>
      <c r="I7" s="478">
        <f>landbouw!I8</f>
        <v>0</v>
      </c>
      <c r="J7" s="478">
        <f>landbouw!J8</f>
        <v>26.75065857381129</v>
      </c>
      <c r="K7" s="478">
        <f>landbouw!K8</f>
        <v>0</v>
      </c>
      <c r="L7" s="478">
        <f>landbouw!L8</f>
        <v>0</v>
      </c>
      <c r="M7" s="478">
        <f>landbouw!M8</f>
        <v>0</v>
      </c>
      <c r="N7" s="478">
        <f>landbouw!N8</f>
        <v>0</v>
      </c>
      <c r="O7" s="478">
        <f>landbouw!O8</f>
        <v>0</v>
      </c>
      <c r="P7" s="479">
        <f>landbouw!P8</f>
        <v>0</v>
      </c>
      <c r="Q7" s="477">
        <f t="shared" si="0"/>
        <v>1813.6896364474358</v>
      </c>
    </row>
    <row r="8" spans="1:17">
      <c r="A8" s="477" t="s">
        <v>635</v>
      </c>
      <c r="B8" s="478">
        <f>industrie!B18</f>
        <v>1467.2385354466899</v>
      </c>
      <c r="C8" s="478">
        <f>industrie!C18</f>
        <v>0</v>
      </c>
      <c r="D8" s="478">
        <f>industrie!D18</f>
        <v>3254.0499654099008</v>
      </c>
      <c r="E8" s="478">
        <f>industrie!E18</f>
        <v>238.8515253012346</v>
      </c>
      <c r="F8" s="478">
        <f>industrie!F18</f>
        <v>694.4412898835368</v>
      </c>
      <c r="G8" s="478">
        <f>industrie!G18</f>
        <v>0</v>
      </c>
      <c r="H8" s="478">
        <f>industrie!H18</f>
        <v>0</v>
      </c>
      <c r="I8" s="478">
        <f>industrie!I18</f>
        <v>0</v>
      </c>
      <c r="J8" s="478">
        <f>industrie!J18</f>
        <v>1.0573159330007178</v>
      </c>
      <c r="K8" s="478">
        <f>industrie!K18</f>
        <v>0</v>
      </c>
      <c r="L8" s="478">
        <f>industrie!L18</f>
        <v>0</v>
      </c>
      <c r="M8" s="478">
        <f>industrie!M18</f>
        <v>0</v>
      </c>
      <c r="N8" s="478">
        <f>industrie!N18</f>
        <v>343.90555990097232</v>
      </c>
      <c r="O8" s="478">
        <f>industrie!O18</f>
        <v>0</v>
      </c>
      <c r="P8" s="479">
        <f>industrie!P18</f>
        <v>0</v>
      </c>
      <c r="Q8" s="477">
        <f t="shared" si="0"/>
        <v>5999.5441918753359</v>
      </c>
    </row>
    <row r="9" spans="1:17" s="483" customFormat="1">
      <c r="A9" s="481" t="s">
        <v>561</v>
      </c>
      <c r="B9" s="482">
        <f>transport!B14</f>
        <v>23.80120259872367</v>
      </c>
      <c r="C9" s="482">
        <f>transport!C14</f>
        <v>0</v>
      </c>
      <c r="D9" s="482">
        <f>transport!D14</f>
        <v>74.658872492061363</v>
      </c>
      <c r="E9" s="482">
        <f>transport!E14</f>
        <v>101.4383966722495</v>
      </c>
      <c r="F9" s="482">
        <f>transport!F14</f>
        <v>0</v>
      </c>
      <c r="G9" s="482">
        <f>transport!G14</f>
        <v>54816.633350129036</v>
      </c>
      <c r="H9" s="482">
        <f>transport!H14</f>
        <v>8477.79708483992</v>
      </c>
      <c r="I9" s="482">
        <f>transport!I14</f>
        <v>0</v>
      </c>
      <c r="J9" s="482">
        <f>transport!J14</f>
        <v>0</v>
      </c>
      <c r="K9" s="482">
        <f>transport!K14</f>
        <v>0</v>
      </c>
      <c r="L9" s="482">
        <f>transport!L14</f>
        <v>0</v>
      </c>
      <c r="M9" s="482">
        <f>transport!M14</f>
        <v>3454.3443120752786</v>
      </c>
      <c r="N9" s="482">
        <f>transport!N14</f>
        <v>0</v>
      </c>
      <c r="O9" s="482">
        <f>transport!O14</f>
        <v>0</v>
      </c>
      <c r="P9" s="482">
        <f>transport!P14</f>
        <v>0</v>
      </c>
      <c r="Q9" s="481">
        <f>SUM(B9:P9)</f>
        <v>66948.673218807278</v>
      </c>
    </row>
    <row r="10" spans="1:17">
      <c r="A10" s="477" t="s">
        <v>551</v>
      </c>
      <c r="B10" s="478">
        <f>transport!B54</f>
        <v>0</v>
      </c>
      <c r="C10" s="478">
        <f>transport!C54</f>
        <v>0</v>
      </c>
      <c r="D10" s="478">
        <f>transport!D54</f>
        <v>0</v>
      </c>
      <c r="E10" s="478">
        <f>transport!E54</f>
        <v>0</v>
      </c>
      <c r="F10" s="478">
        <f>transport!F54</f>
        <v>0</v>
      </c>
      <c r="G10" s="478">
        <f>transport!G54</f>
        <v>642.74305765034012</v>
      </c>
      <c r="H10" s="478">
        <f>transport!H54</f>
        <v>0</v>
      </c>
      <c r="I10" s="478">
        <f>transport!I54</f>
        <v>0</v>
      </c>
      <c r="J10" s="478">
        <f>transport!J54</f>
        <v>0</v>
      </c>
      <c r="K10" s="478">
        <f>transport!K54</f>
        <v>0</v>
      </c>
      <c r="L10" s="478">
        <f>transport!L54</f>
        <v>0</v>
      </c>
      <c r="M10" s="478">
        <f>transport!M54</f>
        <v>36.504968236215667</v>
      </c>
      <c r="N10" s="478">
        <f>transport!N54</f>
        <v>0</v>
      </c>
      <c r="O10" s="478">
        <f>transport!O54</f>
        <v>0</v>
      </c>
      <c r="P10" s="479">
        <f>transport!P54</f>
        <v>0</v>
      </c>
      <c r="Q10" s="477">
        <f t="shared" si="0"/>
        <v>679.24802588655575</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28479.10736620798</v>
      </c>
      <c r="C14" s="488">
        <f t="shared" ref="C14:Q14" ca="1" si="1">SUM(C4:C13)</f>
        <v>0</v>
      </c>
      <c r="D14" s="488">
        <f t="shared" ca="1" si="1"/>
        <v>56882.163050409043</v>
      </c>
      <c r="E14" s="488">
        <f t="shared" si="1"/>
        <v>880.27283374592014</v>
      </c>
      <c r="F14" s="488">
        <f t="shared" ca="1" si="1"/>
        <v>3601.879563653973</v>
      </c>
      <c r="G14" s="488">
        <f t="shared" si="1"/>
        <v>55459.376407779375</v>
      </c>
      <c r="H14" s="488">
        <f t="shared" si="1"/>
        <v>8477.79708483992</v>
      </c>
      <c r="I14" s="488">
        <f t="shared" si="1"/>
        <v>0</v>
      </c>
      <c r="J14" s="488">
        <f t="shared" si="1"/>
        <v>27.836066837149612</v>
      </c>
      <c r="K14" s="488">
        <f t="shared" si="1"/>
        <v>0</v>
      </c>
      <c r="L14" s="488">
        <f t="shared" ca="1" si="1"/>
        <v>0</v>
      </c>
      <c r="M14" s="488">
        <f t="shared" si="1"/>
        <v>3490.8492803114941</v>
      </c>
      <c r="N14" s="488">
        <f t="shared" ca="1" si="1"/>
        <v>4563.5196903416645</v>
      </c>
      <c r="O14" s="488">
        <f t="shared" si="1"/>
        <v>118.81333333333333</v>
      </c>
      <c r="P14" s="489">
        <f t="shared" si="1"/>
        <v>247.86666666666667</v>
      </c>
      <c r="Q14" s="489">
        <f t="shared" ca="1" si="1"/>
        <v>162229.48134412654</v>
      </c>
    </row>
    <row r="16" spans="1:17">
      <c r="A16" s="491" t="s">
        <v>556</v>
      </c>
      <c r="B16" s="841">
        <f ca="1">huishoudens!B10</f>
        <v>0.14574541686719855</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2071.5927330901022</v>
      </c>
      <c r="C21" s="478">
        <f t="shared" ref="C21:C30" ca="1" si="3">C4*$C$16</f>
        <v>0</v>
      </c>
      <c r="D21" s="478">
        <f t="shared" ref="D21:D30" si="4">D4*$D$16</f>
        <v>7847.9696449580115</v>
      </c>
      <c r="E21" s="478">
        <f t="shared" ref="E21:E30" si="5">E4*$E$16</f>
        <v>77.527859515070389</v>
      </c>
      <c r="F21" s="478">
        <f t="shared" ref="F21:F30" si="6">F4*$F$16</f>
        <v>0</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9997.0902375631849</v>
      </c>
    </row>
    <row r="22" spans="1:17">
      <c r="A22" s="477" t="s">
        <v>156</v>
      </c>
      <c r="B22" s="478">
        <f t="shared" ca="1" si="2"/>
        <v>1774.331590942453</v>
      </c>
      <c r="C22" s="478">
        <f t="shared" ca="1" si="3"/>
        <v>0</v>
      </c>
      <c r="D22" s="478">
        <f t="shared" ca="1" si="4"/>
        <v>2802.6405309310553</v>
      </c>
      <c r="E22" s="478">
        <f t="shared" si="5"/>
        <v>43.816288887517352</v>
      </c>
      <c r="F22" s="478">
        <f t="shared" ca="1" si="6"/>
        <v>570.90733968102597</v>
      </c>
      <c r="G22" s="478">
        <f t="shared" si="7"/>
        <v>0</v>
      </c>
      <c r="H22" s="478">
        <f t="shared" si="8"/>
        <v>0</v>
      </c>
      <c r="I22" s="478">
        <f t="shared" si="9"/>
        <v>0</v>
      </c>
      <c r="J22" s="478">
        <f t="shared" si="10"/>
        <v>9.944684939511431E-3</v>
      </c>
      <c r="K22" s="478">
        <f t="shared" si="11"/>
        <v>0</v>
      </c>
      <c r="L22" s="478">
        <f t="shared" ca="1" si="12"/>
        <v>0</v>
      </c>
      <c r="M22" s="478">
        <f t="shared" si="13"/>
        <v>0</v>
      </c>
      <c r="N22" s="478">
        <f t="shared" ca="1" si="14"/>
        <v>0</v>
      </c>
      <c r="O22" s="478">
        <f t="shared" si="15"/>
        <v>0</v>
      </c>
      <c r="P22" s="479">
        <f t="shared" si="16"/>
        <v>0</v>
      </c>
      <c r="Q22" s="477">
        <f t="shared" ref="Q22:Q30" ca="1" si="17">SUM(B22:P22)</f>
        <v>5191.7056951269924</v>
      </c>
    </row>
    <row r="23" spans="1:17">
      <c r="A23" s="477" t="s">
        <v>194</v>
      </c>
      <c r="B23" s="478">
        <f t="shared" ca="1" si="2"/>
        <v>60.552119618730643</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60.552119618730643</v>
      </c>
    </row>
    <row r="24" spans="1:17">
      <c r="A24" s="477" t="s">
        <v>112</v>
      </c>
      <c r="B24" s="478">
        <f t="shared" ca="1" si="2"/>
        <v>26.910723255413775</v>
      </c>
      <c r="C24" s="478">
        <f t="shared" ca="1" si="3"/>
        <v>0</v>
      </c>
      <c r="D24" s="478">
        <f t="shared" si="4"/>
        <v>167.18757503736424</v>
      </c>
      <c r="E24" s="478">
        <f t="shared" si="5"/>
        <v>1.2319725697552575</v>
      </c>
      <c r="F24" s="478">
        <f t="shared" si="6"/>
        <v>205.37867941568066</v>
      </c>
      <c r="G24" s="478">
        <f t="shared" si="7"/>
        <v>0</v>
      </c>
      <c r="H24" s="478">
        <f t="shared" si="8"/>
        <v>0</v>
      </c>
      <c r="I24" s="478">
        <f t="shared" si="9"/>
        <v>0</v>
      </c>
      <c r="J24" s="478">
        <f t="shared" si="10"/>
        <v>9.4697331351291965</v>
      </c>
      <c r="K24" s="478">
        <f t="shared" si="11"/>
        <v>0</v>
      </c>
      <c r="L24" s="478">
        <f t="shared" si="12"/>
        <v>0</v>
      </c>
      <c r="M24" s="478">
        <f t="shared" si="13"/>
        <v>0</v>
      </c>
      <c r="N24" s="478">
        <f t="shared" si="14"/>
        <v>0</v>
      </c>
      <c r="O24" s="478">
        <f t="shared" si="15"/>
        <v>0</v>
      </c>
      <c r="P24" s="479">
        <f t="shared" si="16"/>
        <v>0</v>
      </c>
      <c r="Q24" s="477">
        <f t="shared" ca="1" si="17"/>
        <v>410.17868341334315</v>
      </c>
    </row>
    <row r="25" spans="1:17">
      <c r="A25" s="477" t="s">
        <v>635</v>
      </c>
      <c r="B25" s="478">
        <f t="shared" ca="1" si="2"/>
        <v>213.84329199229569</v>
      </c>
      <c r="C25" s="478">
        <f t="shared" ca="1" si="3"/>
        <v>0</v>
      </c>
      <c r="D25" s="478">
        <f t="shared" si="4"/>
        <v>657.31809301279998</v>
      </c>
      <c r="E25" s="478">
        <f t="shared" si="5"/>
        <v>54.219296243380256</v>
      </c>
      <c r="F25" s="478">
        <f t="shared" si="6"/>
        <v>185.41582439890433</v>
      </c>
      <c r="G25" s="478">
        <f t="shared" si="7"/>
        <v>0</v>
      </c>
      <c r="H25" s="478">
        <f t="shared" si="8"/>
        <v>0</v>
      </c>
      <c r="I25" s="478">
        <f t="shared" si="9"/>
        <v>0</v>
      </c>
      <c r="J25" s="478">
        <f t="shared" si="10"/>
        <v>0.37428984028225409</v>
      </c>
      <c r="K25" s="478">
        <f t="shared" si="11"/>
        <v>0</v>
      </c>
      <c r="L25" s="478">
        <f t="shared" si="12"/>
        <v>0</v>
      </c>
      <c r="M25" s="478">
        <f t="shared" si="13"/>
        <v>0</v>
      </c>
      <c r="N25" s="478">
        <f t="shared" si="14"/>
        <v>0</v>
      </c>
      <c r="O25" s="478">
        <f t="shared" si="15"/>
        <v>0</v>
      </c>
      <c r="P25" s="479">
        <f t="shared" si="16"/>
        <v>0</v>
      </c>
      <c r="Q25" s="477">
        <f t="shared" ca="1" si="17"/>
        <v>1111.1707954876624</v>
      </c>
    </row>
    <row r="26" spans="1:17" s="483" customFormat="1">
      <c r="A26" s="481" t="s">
        <v>561</v>
      </c>
      <c r="B26" s="835">
        <f t="shared" ca="1" si="2"/>
        <v>3.4689161946916309</v>
      </c>
      <c r="C26" s="482">
        <f t="shared" ca="1" si="3"/>
        <v>0</v>
      </c>
      <c r="D26" s="482">
        <f t="shared" si="4"/>
        <v>15.081092243396396</v>
      </c>
      <c r="E26" s="482">
        <f t="shared" si="5"/>
        <v>23.026516044600637</v>
      </c>
      <c r="F26" s="482">
        <f t="shared" si="6"/>
        <v>0</v>
      </c>
      <c r="G26" s="482">
        <f t="shared" si="7"/>
        <v>14636.041104484453</v>
      </c>
      <c r="H26" s="482">
        <f t="shared" si="8"/>
        <v>2110.97147412514</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16788.589103092283</v>
      </c>
    </row>
    <row r="27" spans="1:17">
      <c r="A27" s="477" t="s">
        <v>551</v>
      </c>
      <c r="B27" s="478">
        <f t="shared" ca="1" si="2"/>
        <v>0</v>
      </c>
      <c r="C27" s="478">
        <f t="shared" ca="1" si="3"/>
        <v>0</v>
      </c>
      <c r="D27" s="478">
        <f t="shared" si="4"/>
        <v>0</v>
      </c>
      <c r="E27" s="478">
        <f t="shared" si="5"/>
        <v>0</v>
      </c>
      <c r="F27" s="478">
        <f t="shared" si="6"/>
        <v>0</v>
      </c>
      <c r="G27" s="478">
        <f t="shared" si="7"/>
        <v>171.61239639264082</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171.61239639264082</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4150.6993750936872</v>
      </c>
      <c r="C31" s="488">
        <f t="shared" ca="1" si="18"/>
        <v>0</v>
      </c>
      <c r="D31" s="488">
        <f t="shared" ca="1" si="18"/>
        <v>11490.196936182627</v>
      </c>
      <c r="E31" s="488">
        <f t="shared" si="18"/>
        <v>199.8219332603239</v>
      </c>
      <c r="F31" s="488">
        <f t="shared" ca="1" si="18"/>
        <v>961.701843495611</v>
      </c>
      <c r="G31" s="488">
        <f t="shared" si="18"/>
        <v>14807.653500877093</v>
      </c>
      <c r="H31" s="488">
        <f t="shared" si="18"/>
        <v>2110.97147412514</v>
      </c>
      <c r="I31" s="488">
        <f t="shared" si="18"/>
        <v>0</v>
      </c>
      <c r="J31" s="488">
        <f t="shared" si="18"/>
        <v>9.8539676603509623</v>
      </c>
      <c r="K31" s="488">
        <f t="shared" si="18"/>
        <v>0</v>
      </c>
      <c r="L31" s="488">
        <f t="shared" ca="1" si="18"/>
        <v>0</v>
      </c>
      <c r="M31" s="488">
        <f t="shared" si="18"/>
        <v>0</v>
      </c>
      <c r="N31" s="488">
        <f t="shared" ca="1" si="18"/>
        <v>0</v>
      </c>
      <c r="O31" s="488">
        <f t="shared" si="18"/>
        <v>0</v>
      </c>
      <c r="P31" s="489">
        <f t="shared" si="18"/>
        <v>0</v>
      </c>
      <c r="Q31" s="489">
        <f t="shared" ca="1" si="18"/>
        <v>33730.89903069484</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0.14574541686719855</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0.14574541686719855</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0.14574541686719855</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11038</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3382</v>
      </c>
      <c r="C9" s="342">
        <v>3666</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275.73</v>
      </c>
    </row>
    <row r="15" spans="1:6">
      <c r="A15" s="348" t="s">
        <v>184</v>
      </c>
      <c r="B15" s="334">
        <v>1</v>
      </c>
    </row>
    <row r="16" spans="1:6">
      <c r="A16" s="348" t="s">
        <v>6</v>
      </c>
      <c r="B16" s="334">
        <v>159</v>
      </c>
    </row>
    <row r="17" spans="1:6">
      <c r="A17" s="348" t="s">
        <v>7</v>
      </c>
      <c r="B17" s="334">
        <v>15</v>
      </c>
    </row>
    <row r="18" spans="1:6">
      <c r="A18" s="348" t="s">
        <v>8</v>
      </c>
      <c r="B18" s="334">
        <v>57</v>
      </c>
    </row>
    <row r="19" spans="1:6">
      <c r="A19" s="348" t="s">
        <v>9</v>
      </c>
      <c r="B19" s="334">
        <v>54</v>
      </c>
    </row>
    <row r="20" spans="1:6">
      <c r="A20" s="348" t="s">
        <v>10</v>
      </c>
      <c r="B20" s="334">
        <v>53</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138</v>
      </c>
    </row>
    <row r="27" spans="1:6">
      <c r="A27" s="348" t="s">
        <v>17</v>
      </c>
      <c r="B27" s="334">
        <v>0</v>
      </c>
    </row>
    <row r="28" spans="1:6" s="356" customFormat="1">
      <c r="A28" s="355" t="s">
        <v>18</v>
      </c>
      <c r="B28" s="355">
        <v>0</v>
      </c>
    </row>
    <row r="29" spans="1:6">
      <c r="A29" s="355" t="s">
        <v>744</v>
      </c>
      <c r="B29" s="355">
        <v>14</v>
      </c>
      <c r="C29" s="356"/>
      <c r="D29" s="356"/>
      <c r="E29" s="356"/>
      <c r="F29" s="356"/>
    </row>
    <row r="30" spans="1:6">
      <c r="A30" s="341" t="s">
        <v>745</v>
      </c>
      <c r="B30" s="341">
        <v>6</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3</v>
      </c>
      <c r="F36" s="334">
        <v>54927.251856969997</v>
      </c>
    </row>
    <row r="37" spans="1:6">
      <c r="A37" s="348" t="s">
        <v>25</v>
      </c>
      <c r="B37" s="348" t="s">
        <v>28</v>
      </c>
      <c r="C37" s="334">
        <v>0</v>
      </c>
      <c r="D37" s="334">
        <v>0</v>
      </c>
      <c r="E37" s="334">
        <v>0</v>
      </c>
      <c r="F37" s="334">
        <v>0</v>
      </c>
    </row>
    <row r="38" spans="1:6">
      <c r="A38" s="348" t="s">
        <v>25</v>
      </c>
      <c r="B38" s="348" t="s">
        <v>29</v>
      </c>
      <c r="C38" s="334">
        <v>0</v>
      </c>
      <c r="D38" s="334">
        <v>0</v>
      </c>
      <c r="E38" s="334">
        <v>2</v>
      </c>
      <c r="F38" s="334">
        <v>12331.7070952416</v>
      </c>
    </row>
    <row r="39" spans="1:6">
      <c r="A39" s="348" t="s">
        <v>30</v>
      </c>
      <c r="B39" s="348" t="s">
        <v>31</v>
      </c>
      <c r="C39" s="334">
        <v>2791</v>
      </c>
      <c r="D39" s="334">
        <v>43072433.343713701</v>
      </c>
      <c r="E39" s="334">
        <v>3391</v>
      </c>
      <c r="F39" s="334">
        <v>12760169.236017499</v>
      </c>
    </row>
    <row r="40" spans="1:6">
      <c r="A40" s="348" t="s">
        <v>30</v>
      </c>
      <c r="B40" s="348" t="s">
        <v>29</v>
      </c>
      <c r="C40" s="334">
        <v>0</v>
      </c>
      <c r="D40" s="334">
        <v>0</v>
      </c>
      <c r="E40" s="334">
        <v>0</v>
      </c>
      <c r="F40" s="334">
        <v>0</v>
      </c>
    </row>
    <row r="41" spans="1:6">
      <c r="A41" s="348" t="s">
        <v>32</v>
      </c>
      <c r="B41" s="348" t="s">
        <v>33</v>
      </c>
      <c r="C41" s="334">
        <v>20</v>
      </c>
      <c r="D41" s="334">
        <v>983548.46523771097</v>
      </c>
      <c r="E41" s="334">
        <v>42</v>
      </c>
      <c r="F41" s="334">
        <v>757734.87677656102</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3</v>
      </c>
      <c r="F44" s="334">
        <v>23615</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21</v>
      </c>
      <c r="D48" s="334">
        <v>505904.89054979302</v>
      </c>
      <c r="E48" s="334">
        <v>26</v>
      </c>
      <c r="F48" s="334">
        <v>295341.21483221301</v>
      </c>
    </row>
    <row r="49" spans="1:6">
      <c r="A49" s="348" t="s">
        <v>32</v>
      </c>
      <c r="B49" s="348" t="s">
        <v>40</v>
      </c>
      <c r="C49" s="334">
        <v>0</v>
      </c>
      <c r="D49" s="334">
        <v>0</v>
      </c>
      <c r="E49" s="334">
        <v>0</v>
      </c>
      <c r="F49" s="334">
        <v>0</v>
      </c>
    </row>
    <row r="50" spans="1:6">
      <c r="A50" s="348" t="s">
        <v>32</v>
      </c>
      <c r="B50" s="348" t="s">
        <v>41</v>
      </c>
      <c r="C50" s="334">
        <v>8</v>
      </c>
      <c r="D50" s="334">
        <v>2118140.8408975299</v>
      </c>
      <c r="E50" s="334">
        <v>8</v>
      </c>
      <c r="F50" s="334">
        <v>390547.44383791601</v>
      </c>
    </row>
    <row r="51" spans="1:6">
      <c r="A51" s="348" t="s">
        <v>42</v>
      </c>
      <c r="B51" s="348" t="s">
        <v>43</v>
      </c>
      <c r="C51" s="334">
        <v>0</v>
      </c>
      <c r="D51" s="334">
        <v>0</v>
      </c>
      <c r="E51" s="334">
        <v>4</v>
      </c>
      <c r="F51" s="334">
        <v>44539.054954724801</v>
      </c>
    </row>
    <row r="52" spans="1:6">
      <c r="A52" s="348" t="s">
        <v>42</v>
      </c>
      <c r="B52" s="348" t="s">
        <v>29</v>
      </c>
      <c r="C52" s="334">
        <v>1</v>
      </c>
      <c r="D52" s="334">
        <v>21394.278730686401</v>
      </c>
      <c r="E52" s="334">
        <v>4</v>
      </c>
      <c r="F52" s="334">
        <v>140102.931283062</v>
      </c>
    </row>
    <row r="53" spans="1:6">
      <c r="A53" s="348" t="s">
        <v>44</v>
      </c>
      <c r="B53" s="348" t="s">
        <v>45</v>
      </c>
      <c r="C53" s="334">
        <v>54</v>
      </c>
      <c r="D53" s="334">
        <v>896190.26956333697</v>
      </c>
      <c r="E53" s="334">
        <v>150</v>
      </c>
      <c r="F53" s="334">
        <v>630613.57341814495</v>
      </c>
    </row>
    <row r="54" spans="1:6">
      <c r="A54" s="348" t="s">
        <v>46</v>
      </c>
      <c r="B54" s="348" t="s">
        <v>47</v>
      </c>
      <c r="C54" s="334">
        <v>0</v>
      </c>
      <c r="D54" s="334">
        <v>0</v>
      </c>
      <c r="E54" s="334">
        <v>1</v>
      </c>
      <c r="F54" s="334">
        <v>415465</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11</v>
      </c>
      <c r="D57" s="334">
        <v>1143978.3242763099</v>
      </c>
      <c r="E57" s="334">
        <v>27</v>
      </c>
      <c r="F57" s="334">
        <v>912001.532864357</v>
      </c>
    </row>
    <row r="58" spans="1:6">
      <c r="A58" s="348" t="s">
        <v>49</v>
      </c>
      <c r="B58" s="348" t="s">
        <v>51</v>
      </c>
      <c r="C58" s="334">
        <v>3</v>
      </c>
      <c r="D58" s="334">
        <v>131754.41514404101</v>
      </c>
      <c r="E58" s="334">
        <v>9</v>
      </c>
      <c r="F58" s="334">
        <v>84631.869144356693</v>
      </c>
    </row>
    <row r="59" spans="1:6">
      <c r="A59" s="348" t="s">
        <v>49</v>
      </c>
      <c r="B59" s="348" t="s">
        <v>52</v>
      </c>
      <c r="C59" s="334">
        <v>48</v>
      </c>
      <c r="D59" s="334">
        <v>2690869.4981492199</v>
      </c>
      <c r="E59" s="334">
        <v>72</v>
      </c>
      <c r="F59" s="334">
        <v>3664116.7304721</v>
      </c>
    </row>
    <row r="60" spans="1:6">
      <c r="A60" s="348" t="s">
        <v>49</v>
      </c>
      <c r="B60" s="348" t="s">
        <v>53</v>
      </c>
      <c r="C60" s="334">
        <v>15</v>
      </c>
      <c r="D60" s="334">
        <v>1082014.46246511</v>
      </c>
      <c r="E60" s="334">
        <v>22</v>
      </c>
      <c r="F60" s="334">
        <v>1111894.48486778</v>
      </c>
    </row>
    <row r="61" spans="1:6">
      <c r="A61" s="348" t="s">
        <v>49</v>
      </c>
      <c r="B61" s="348" t="s">
        <v>54</v>
      </c>
      <c r="C61" s="334">
        <v>74</v>
      </c>
      <c r="D61" s="334">
        <v>4694473.4585036896</v>
      </c>
      <c r="E61" s="334">
        <v>118</v>
      </c>
      <c r="F61" s="334">
        <v>2939119.7969577601</v>
      </c>
    </row>
    <row r="62" spans="1:6">
      <c r="A62" s="348" t="s">
        <v>49</v>
      </c>
      <c r="B62" s="348" t="s">
        <v>55</v>
      </c>
      <c r="C62" s="334">
        <v>0</v>
      </c>
      <c r="D62" s="334">
        <v>0</v>
      </c>
      <c r="E62" s="334">
        <v>3</v>
      </c>
      <c r="F62" s="334">
        <v>36334.762183837804</v>
      </c>
    </row>
    <row r="63" spans="1:6">
      <c r="A63" s="348" t="s">
        <v>49</v>
      </c>
      <c r="B63" s="348" t="s">
        <v>29</v>
      </c>
      <c r="C63" s="334">
        <v>90</v>
      </c>
      <c r="D63" s="334">
        <v>5638792.4067788301</v>
      </c>
      <c r="E63" s="334">
        <v>98</v>
      </c>
      <c r="F63" s="334">
        <v>3426085.29587097</v>
      </c>
    </row>
    <row r="64" spans="1:6">
      <c r="A64" s="348" t="s">
        <v>56</v>
      </c>
      <c r="B64" s="348" t="s">
        <v>57</v>
      </c>
      <c r="C64" s="334">
        <v>0</v>
      </c>
      <c r="D64" s="334">
        <v>0</v>
      </c>
      <c r="E64" s="334">
        <v>0</v>
      </c>
      <c r="F64" s="334">
        <v>0</v>
      </c>
    </row>
    <row r="65" spans="1:6">
      <c r="A65" s="348" t="s">
        <v>56</v>
      </c>
      <c r="B65" s="348" t="s">
        <v>29</v>
      </c>
      <c r="C65" s="334">
        <v>0</v>
      </c>
      <c r="D65" s="334">
        <v>0</v>
      </c>
      <c r="E65" s="334">
        <v>1</v>
      </c>
      <c r="F65" s="334">
        <v>1109.5179750338</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3</v>
      </c>
      <c r="D68" s="334">
        <v>85707.299044416199</v>
      </c>
      <c r="E68" s="334">
        <v>8</v>
      </c>
      <c r="F68" s="334">
        <v>268367.16014456999</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56503630</v>
      </c>
      <c r="E73" s="476">
        <v>56762214.815344244</v>
      </c>
    </row>
    <row r="74" spans="1:6">
      <c r="A74" s="348" t="s">
        <v>64</v>
      </c>
      <c r="B74" s="348" t="s">
        <v>657</v>
      </c>
      <c r="C74" s="1213" t="s">
        <v>659</v>
      </c>
      <c r="D74" s="476">
        <v>10881874.29163664</v>
      </c>
      <c r="E74" s="476">
        <v>9173480.1760610081</v>
      </c>
    </row>
    <row r="75" spans="1:6">
      <c r="A75" s="348" t="s">
        <v>65</v>
      </c>
      <c r="B75" s="348" t="s">
        <v>656</v>
      </c>
      <c r="C75" s="1213" t="s">
        <v>660</v>
      </c>
      <c r="D75" s="476">
        <v>3533313</v>
      </c>
      <c r="E75" s="476">
        <v>3545690.9078763542</v>
      </c>
    </row>
    <row r="76" spans="1:6">
      <c r="A76" s="348" t="s">
        <v>65</v>
      </c>
      <c r="B76" s="348" t="s">
        <v>657</v>
      </c>
      <c r="C76" s="1213" t="s">
        <v>661</v>
      </c>
      <c r="D76" s="476">
        <v>84022.291636640002</v>
      </c>
      <c r="E76" s="476">
        <v>58564.318926958105</v>
      </c>
    </row>
    <row r="77" spans="1:6">
      <c r="A77" s="348" t="s">
        <v>66</v>
      </c>
      <c r="B77" s="348" t="s">
        <v>656</v>
      </c>
      <c r="C77" s="1213" t="s">
        <v>662</v>
      </c>
      <c r="D77" s="476">
        <v>463825</v>
      </c>
      <c r="E77" s="476">
        <v>502388.09248108941</v>
      </c>
    </row>
    <row r="78" spans="1:6">
      <c r="A78" s="341" t="s">
        <v>66</v>
      </c>
      <c r="B78" s="341" t="s">
        <v>657</v>
      </c>
      <c r="C78" s="341" t="s">
        <v>663</v>
      </c>
      <c r="D78" s="1214">
        <v>54498</v>
      </c>
      <c r="E78" s="1214">
        <v>56932.064197999214</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184223.41672672</v>
      </c>
      <c r="C83" s="476">
        <v>185034.22773202718</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7750.5909595559906</v>
      </c>
    </row>
    <row r="91" spans="1:6">
      <c r="A91" s="348" t="s">
        <v>68</v>
      </c>
      <c r="B91" s="334">
        <v>1453.6069335461209</v>
      </c>
    </row>
    <row r="92" spans="1:6">
      <c r="A92" s="341" t="s">
        <v>69</v>
      </c>
      <c r="B92" s="342">
        <v>493.46433693534385</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2045</v>
      </c>
    </row>
    <row r="98" spans="1:6">
      <c r="A98" s="348" t="s">
        <v>72</v>
      </c>
      <c r="B98" s="334">
        <v>5</v>
      </c>
    </row>
    <row r="99" spans="1:6">
      <c r="A99" s="348" t="s">
        <v>73</v>
      </c>
      <c r="B99" s="334">
        <v>12</v>
      </c>
    </row>
    <row r="100" spans="1:6">
      <c r="A100" s="348" t="s">
        <v>74</v>
      </c>
      <c r="B100" s="334">
        <v>386</v>
      </c>
    </row>
    <row r="101" spans="1:6">
      <c r="A101" s="348" t="s">
        <v>75</v>
      </c>
      <c r="B101" s="334">
        <v>32</v>
      </c>
    </row>
    <row r="102" spans="1:6">
      <c r="A102" s="348" t="s">
        <v>76</v>
      </c>
      <c r="B102" s="334">
        <v>51</v>
      </c>
    </row>
    <row r="103" spans="1:6">
      <c r="A103" s="348" t="s">
        <v>77</v>
      </c>
      <c r="B103" s="334">
        <v>72</v>
      </c>
    </row>
    <row r="104" spans="1:6">
      <c r="A104" s="348" t="s">
        <v>78</v>
      </c>
      <c r="B104" s="334">
        <v>379</v>
      </c>
    </row>
    <row r="105" spans="1:6">
      <c r="A105" s="341" t="s">
        <v>79</v>
      </c>
      <c r="B105" s="341">
        <v>6</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6</v>
      </c>
      <c r="C123" s="334">
        <v>13</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63</v>
      </c>
    </row>
    <row r="130" spans="1:6">
      <c r="A130" s="348" t="s">
        <v>295</v>
      </c>
      <c r="B130" s="334">
        <v>0</v>
      </c>
    </row>
    <row r="131" spans="1:6">
      <c r="A131" s="348" t="s">
        <v>296</v>
      </c>
      <c r="B131" s="334">
        <v>0</v>
      </c>
    </row>
    <row r="132" spans="1:6">
      <c r="A132" s="341" t="s">
        <v>297</v>
      </c>
      <c r="B132" s="342">
        <v>7</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28479.107366207983</v>
      </c>
      <c r="C3" s="43" t="s">
        <v>170</v>
      </c>
      <c r="D3" s="43"/>
      <c r="E3" s="154"/>
      <c r="F3" s="43"/>
      <c r="G3" s="43"/>
      <c r="H3" s="43"/>
      <c r="I3" s="43"/>
      <c r="J3" s="43"/>
      <c r="K3" s="96"/>
    </row>
    <row r="4" spans="1:11">
      <c r="A4" s="383" t="s">
        <v>171</v>
      </c>
      <c r="B4" s="49">
        <f>IF(ISERROR('SEAP template'!B69),0,'SEAP template'!B69)</f>
        <v>9697.6622300374547</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0.14574541686719855</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415.46499999999997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415.46499999999997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0.14574541686719855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60.552119618730643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12760.169236017498</v>
      </c>
      <c r="C5" s="17">
        <f>IF(ISERROR('Eigen informatie GS &amp; warmtenet'!B57),0,'Eigen informatie GS &amp; warmtenet'!B57)</f>
        <v>0</v>
      </c>
      <c r="D5" s="30">
        <f>(SUM(HH_hh_gas_kWh,HH_rest_gas_kWh)/1000)*0.902</f>
        <v>38851.334876029759</v>
      </c>
      <c r="E5" s="17">
        <f>B46*B57</f>
        <v>341.53242077123519</v>
      </c>
      <c r="F5" s="17">
        <f>B51*B62</f>
        <v>0</v>
      </c>
      <c r="G5" s="18"/>
      <c r="H5" s="17"/>
      <c r="I5" s="17"/>
      <c r="J5" s="17">
        <f>B50*B61+C50*C61</f>
        <v>0</v>
      </c>
      <c r="K5" s="17"/>
      <c r="L5" s="17"/>
      <c r="M5" s="17"/>
      <c r="N5" s="17">
        <f>B48*B59+C48*C59</f>
        <v>3103.7971982622184</v>
      </c>
      <c r="O5" s="17">
        <f>B69*B70*B71</f>
        <v>118.81333333333333</v>
      </c>
      <c r="P5" s="17">
        <f>B77*B78*B79/1000-B77*B78*B79/1000/B80</f>
        <v>247.86666666666667</v>
      </c>
    </row>
    <row r="6" spans="1:16">
      <c r="A6" s="16" t="s">
        <v>621</v>
      </c>
      <c r="B6" s="843">
        <f>kWh_PV_kleiner_dan_10kW</f>
        <v>1453.6069335461209</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14213.77616956362</v>
      </c>
      <c r="C8" s="21">
        <f>C5</f>
        <v>0</v>
      </c>
      <c r="D8" s="21">
        <f>D5</f>
        <v>38851.334876029759</v>
      </c>
      <c r="E8" s="21">
        <f>E5</f>
        <v>341.53242077123519</v>
      </c>
      <c r="F8" s="21">
        <f>F5</f>
        <v>0</v>
      </c>
      <c r="G8" s="21"/>
      <c r="H8" s="21"/>
      <c r="I8" s="21"/>
      <c r="J8" s="21">
        <f>J5</f>
        <v>0</v>
      </c>
      <c r="K8" s="21"/>
      <c r="L8" s="21">
        <f>L5</f>
        <v>0</v>
      </c>
      <c r="M8" s="21">
        <f>M5</f>
        <v>0</v>
      </c>
      <c r="N8" s="21">
        <f>N5</f>
        <v>3103.7971982622184</v>
      </c>
      <c r="O8" s="21">
        <f>O5</f>
        <v>118.81333333333333</v>
      </c>
      <c r="P8" s="21">
        <f>P5</f>
        <v>247.86666666666667</v>
      </c>
    </row>
    <row r="9" spans="1:16">
      <c r="B9" s="19"/>
      <c r="C9" s="19"/>
      <c r="D9" s="258"/>
      <c r="E9" s="19"/>
      <c r="F9" s="19"/>
      <c r="G9" s="19"/>
      <c r="H9" s="19"/>
      <c r="I9" s="19"/>
      <c r="J9" s="19"/>
      <c r="K9" s="19"/>
      <c r="L9" s="19"/>
      <c r="M9" s="19"/>
      <c r="N9" s="19"/>
      <c r="O9" s="19"/>
      <c r="P9" s="19"/>
    </row>
    <row r="10" spans="1:16">
      <c r="A10" s="24" t="s">
        <v>214</v>
      </c>
      <c r="B10" s="25">
        <f ca="1">'EF ele_warmte'!B12</f>
        <v>0.14574541686719855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2071.5927330901022</v>
      </c>
      <c r="C12" s="23">
        <f ca="1">C10*C8</f>
        <v>0</v>
      </c>
      <c r="D12" s="23">
        <f>D8*D10</f>
        <v>7847.9696449580115</v>
      </c>
      <c r="E12" s="23">
        <f>E10*E8</f>
        <v>77.527859515070389</v>
      </c>
      <c r="F12" s="23">
        <f>F10*F8</f>
        <v>0</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2045</v>
      </c>
      <c r="C18" s="166" t="s">
        <v>111</v>
      </c>
      <c r="D18" s="228"/>
      <c r="E18" s="15"/>
    </row>
    <row r="19" spans="1:7">
      <c r="A19" s="171" t="s">
        <v>72</v>
      </c>
      <c r="B19" s="37">
        <f>aantalw2001_ander</f>
        <v>5</v>
      </c>
      <c r="C19" s="166" t="s">
        <v>111</v>
      </c>
      <c r="D19" s="229"/>
      <c r="E19" s="15"/>
    </row>
    <row r="20" spans="1:7">
      <c r="A20" s="171" t="s">
        <v>73</v>
      </c>
      <c r="B20" s="37">
        <f>aantalw2001_propaan</f>
        <v>12</v>
      </c>
      <c r="C20" s="167">
        <f>IF(ISERROR(B20/SUM($B$20,$B$21,$B$22)*100),0,B20/SUM($B$20,$B$21,$B$22)*100)</f>
        <v>2.7906976744186047</v>
      </c>
      <c r="D20" s="229"/>
      <c r="E20" s="15"/>
    </row>
    <row r="21" spans="1:7">
      <c r="A21" s="171" t="s">
        <v>74</v>
      </c>
      <c r="B21" s="37">
        <f>aantalw2001_elektriciteit</f>
        <v>386</v>
      </c>
      <c r="C21" s="167">
        <f>IF(ISERROR(B21/SUM($B$20,$B$21,$B$22)*100),0,B21/SUM($B$20,$B$21,$B$22)*100)</f>
        <v>89.767441860465112</v>
      </c>
      <c r="D21" s="229"/>
      <c r="E21" s="15"/>
    </row>
    <row r="22" spans="1:7">
      <c r="A22" s="171" t="s">
        <v>75</v>
      </c>
      <c r="B22" s="37">
        <f>aantalw2001_hout</f>
        <v>32</v>
      </c>
      <c r="C22" s="167">
        <f>IF(ISERROR(B22/SUM($B$20,$B$21,$B$22)*100),0,B22/SUM($B$20,$B$21,$B$22)*100)</f>
        <v>7.441860465116279</v>
      </c>
      <c r="D22" s="229"/>
      <c r="E22" s="15"/>
    </row>
    <row r="23" spans="1:7">
      <c r="A23" s="171" t="s">
        <v>76</v>
      </c>
      <c r="B23" s="37">
        <f>aantalw2001_niet_gespec</f>
        <v>51</v>
      </c>
      <c r="C23" s="166" t="s">
        <v>111</v>
      </c>
      <c r="D23" s="228"/>
      <c r="E23" s="15"/>
    </row>
    <row r="24" spans="1:7">
      <c r="A24" s="171" t="s">
        <v>77</v>
      </c>
      <c r="B24" s="37">
        <f>aantalw2001_steenkool</f>
        <v>72</v>
      </c>
      <c r="C24" s="166" t="s">
        <v>111</v>
      </c>
      <c r="D24" s="229"/>
      <c r="E24" s="15"/>
    </row>
    <row r="25" spans="1:7">
      <c r="A25" s="171" t="s">
        <v>78</v>
      </c>
      <c r="B25" s="37">
        <f>aantalw2001_stookolie</f>
        <v>379</v>
      </c>
      <c r="C25" s="166" t="s">
        <v>111</v>
      </c>
      <c r="D25" s="228"/>
      <c r="E25" s="52"/>
    </row>
    <row r="26" spans="1:7">
      <c r="A26" s="171" t="s">
        <v>79</v>
      </c>
      <c r="B26" s="37">
        <f>aantalw2001_WP</f>
        <v>6</v>
      </c>
      <c r="C26" s="166" t="s">
        <v>111</v>
      </c>
      <c r="D26" s="228"/>
      <c r="E26" s="15"/>
    </row>
    <row r="27" spans="1:7" s="15" customFormat="1">
      <c r="A27" s="171"/>
      <c r="B27" s="29"/>
      <c r="C27" s="36"/>
      <c r="D27" s="228"/>
    </row>
    <row r="28" spans="1:7" s="15" customFormat="1">
      <c r="A28" s="230" t="s">
        <v>794</v>
      </c>
      <c r="B28" s="37">
        <f>aantalHuishoudens2011</f>
        <v>3382</v>
      </c>
      <c r="C28" s="36"/>
      <c r="D28" s="228"/>
    </row>
    <row r="29" spans="1:7" s="15" customFormat="1">
      <c r="A29" s="230" t="s">
        <v>795</v>
      </c>
      <c r="B29" s="37">
        <f>SUM(HH_hh_gas_aantal,HH_rest_gas_aantal)</f>
        <v>2791</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2791</v>
      </c>
      <c r="C32" s="167">
        <f>IF(ISERROR(B32/SUM($B$32,$B$34,$B$35,$B$36,$B$38,$B$39)*100),0,B32/SUM($B$32,$B$34,$B$35,$B$36,$B$38,$B$39)*100)</f>
        <v>82.843573760759867</v>
      </c>
      <c r="D32" s="233"/>
      <c r="G32" s="15"/>
    </row>
    <row r="33" spans="1:7">
      <c r="A33" s="171" t="s">
        <v>72</v>
      </c>
      <c r="B33" s="34" t="s">
        <v>111</v>
      </c>
      <c r="C33" s="167"/>
      <c r="D33" s="233"/>
      <c r="G33" s="15"/>
    </row>
    <row r="34" spans="1:7">
      <c r="A34" s="171" t="s">
        <v>73</v>
      </c>
      <c r="B34" s="33">
        <f>IF((($B$28-$B$32-$B$39-$B$77-$B$38)*C20/100)&lt;0,0,($B$28-$B$32-$B$39-$B$77-$B$38)*C20/100)</f>
        <v>16.130232558139536</v>
      </c>
      <c r="C34" s="167">
        <f>IF(ISERROR(B34/SUM($B$32,$B$34,$B$35,$B$36,$B$38,$B$39)*100),0,B34/SUM($B$32,$B$34,$B$35,$B$36,$B$38,$B$39)*100)</f>
        <v>0.47878398807181766</v>
      </c>
      <c r="D34" s="233"/>
      <c r="G34" s="15"/>
    </row>
    <row r="35" spans="1:7">
      <c r="A35" s="171" t="s">
        <v>74</v>
      </c>
      <c r="B35" s="33">
        <f>IF((($B$28-$B$32-$B$39-$B$77-$B$38)*C21/100)&lt;0,0,($B$28-$B$32-$B$39-$B$77-$B$38)*C21/100)</f>
        <v>518.85581395348834</v>
      </c>
      <c r="C35" s="167">
        <f>IF(ISERROR(B35/SUM($B$32,$B$34,$B$35,$B$36,$B$38,$B$39)*100),0,B35/SUM($B$32,$B$34,$B$35,$B$36,$B$38,$B$39)*100)</f>
        <v>15.400884949643464</v>
      </c>
      <c r="D35" s="233"/>
      <c r="G35" s="15"/>
    </row>
    <row r="36" spans="1:7">
      <c r="A36" s="171" t="s">
        <v>75</v>
      </c>
      <c r="B36" s="33">
        <f>IF((($B$28-$B$32-$B$39-$B$77-$B$38)*C22/100)&lt;0,0,($B$28-$B$32-$B$39-$B$77-$B$38)*C22/100)</f>
        <v>43.013953488372088</v>
      </c>
      <c r="C36" s="167">
        <f>IF(ISERROR(B36/SUM($B$32,$B$34,$B$35,$B$36,$B$38,$B$39)*100),0,B36/SUM($B$32,$B$34,$B$35,$B$36,$B$38,$B$39)*100)</f>
        <v>1.2767573015248468</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2791</v>
      </c>
      <c r="C44" s="34" t="s">
        <v>111</v>
      </c>
      <c r="D44" s="174"/>
    </row>
    <row r="45" spans="1:7">
      <c r="A45" s="171" t="s">
        <v>72</v>
      </c>
      <c r="B45" s="33" t="str">
        <f t="shared" si="0"/>
        <v>-</v>
      </c>
      <c r="C45" s="34" t="s">
        <v>111</v>
      </c>
      <c r="D45" s="174"/>
    </row>
    <row r="46" spans="1:7">
      <c r="A46" s="171" t="s">
        <v>73</v>
      </c>
      <c r="B46" s="33">
        <f t="shared" si="0"/>
        <v>16.130232558139536</v>
      </c>
      <c r="C46" s="34" t="s">
        <v>111</v>
      </c>
      <c r="D46" s="174"/>
    </row>
    <row r="47" spans="1:7">
      <c r="A47" s="171" t="s">
        <v>74</v>
      </c>
      <c r="B47" s="33">
        <f t="shared" si="0"/>
        <v>518.85581395348834</v>
      </c>
      <c r="C47" s="34" t="s">
        <v>111</v>
      </c>
      <c r="D47" s="174"/>
    </row>
    <row r="48" spans="1:7">
      <c r="A48" s="171" t="s">
        <v>75</v>
      </c>
      <c r="B48" s="33">
        <f t="shared" si="0"/>
        <v>43.013953488372088</v>
      </c>
      <c r="C48" s="33">
        <f>B48*10</f>
        <v>430.1395348837209</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76</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13</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12174.184472361161</v>
      </c>
      <c r="C5" s="17">
        <f>IF(ISERROR('Eigen informatie GS &amp; warmtenet'!B58),0,'Eigen informatie GS &amp; warmtenet'!B58)</f>
        <v>0</v>
      </c>
      <c r="D5" s="30">
        <f>SUM(D6:D12)</f>
        <v>13874.458073916114</v>
      </c>
      <c r="E5" s="17">
        <f>SUM(E6:E12)</f>
        <v>193.02329906395309</v>
      </c>
      <c r="F5" s="17">
        <f>SUM(F6:F12)</f>
        <v>2138.2297366330558</v>
      </c>
      <c r="G5" s="18"/>
      <c r="H5" s="17"/>
      <c r="I5" s="17"/>
      <c r="J5" s="17">
        <f>SUM(J6:J12)</f>
        <v>2.8092330337602913E-2</v>
      </c>
      <c r="K5" s="17"/>
      <c r="L5" s="17"/>
      <c r="M5" s="17"/>
      <c r="N5" s="17">
        <f>SUM(N6:N12)</f>
        <v>1115.8169321784731</v>
      </c>
      <c r="O5" s="17">
        <f>B38*B39*B40</f>
        <v>0</v>
      </c>
      <c r="P5" s="17">
        <f>B46*B47*B48/1000-B46*B47*B48/1000/B49</f>
        <v>0</v>
      </c>
      <c r="R5" s="32"/>
    </row>
    <row r="6" spans="1:18">
      <c r="A6" s="32" t="s">
        <v>54</v>
      </c>
      <c r="B6" s="37">
        <f>B26</f>
        <v>2939.1197969577602</v>
      </c>
      <c r="C6" s="33"/>
      <c r="D6" s="37">
        <f>IF(ISERROR(TER_kantoor_gas_kWh/1000),0,TER_kantoor_gas_kWh/1000)*0.902</f>
        <v>4234.4150595703277</v>
      </c>
      <c r="E6" s="33">
        <f>$C$26*'E Balans VL '!I12/100/3.6*1000000</f>
        <v>1.8421425351401247E-2</v>
      </c>
      <c r="F6" s="33">
        <f>$C$26*('E Balans VL '!L12+'E Balans VL '!N12)/100/3.6*1000000</f>
        <v>441.6675786428786</v>
      </c>
      <c r="G6" s="34"/>
      <c r="H6" s="33"/>
      <c r="I6" s="33"/>
      <c r="J6" s="33">
        <f>$C$26*('E Balans VL '!D12+'E Balans VL '!E12)/100/3.6*1000000</f>
        <v>0</v>
      </c>
      <c r="K6" s="33"/>
      <c r="L6" s="33"/>
      <c r="M6" s="33"/>
      <c r="N6" s="33">
        <f>$C$26*'E Balans VL '!Y12/100/3.6*1000000</f>
        <v>2.8108323134567272</v>
      </c>
      <c r="O6" s="33"/>
      <c r="P6" s="33"/>
      <c r="R6" s="32"/>
    </row>
    <row r="7" spans="1:18">
      <c r="A7" s="32" t="s">
        <v>53</v>
      </c>
      <c r="B7" s="37">
        <f t="shared" ref="B7:B12" si="0">B27</f>
        <v>1111.89448486778</v>
      </c>
      <c r="C7" s="33"/>
      <c r="D7" s="37">
        <f>IF(ISERROR(TER_horeca_gas_kWh/1000),0,TER_horeca_gas_kWh/1000)*0.902</f>
        <v>975.97704514352927</v>
      </c>
      <c r="E7" s="33">
        <f>$C$27*'E Balans VL '!I9/100/3.6*1000000</f>
        <v>15.922143817040956</v>
      </c>
      <c r="F7" s="33">
        <f>$C$27*('E Balans VL '!L9+'E Balans VL '!N9)/100/3.6*1000000</f>
        <v>140.80251347718055</v>
      </c>
      <c r="G7" s="34"/>
      <c r="H7" s="33"/>
      <c r="I7" s="33"/>
      <c r="J7" s="33">
        <f>$C$27*('E Balans VL '!D9+'E Balans VL '!E9)/100/3.6*1000000</f>
        <v>0</v>
      </c>
      <c r="K7" s="33"/>
      <c r="L7" s="33"/>
      <c r="M7" s="33"/>
      <c r="N7" s="33">
        <f>$C$27*'E Balans VL '!Y9/100/3.6*1000000</f>
        <v>0.31964514923046933</v>
      </c>
      <c r="O7" s="33"/>
      <c r="P7" s="33"/>
      <c r="R7" s="32"/>
    </row>
    <row r="8" spans="1:18">
      <c r="A8" s="6" t="s">
        <v>52</v>
      </c>
      <c r="B8" s="37">
        <f t="shared" si="0"/>
        <v>3664.1167304720998</v>
      </c>
      <c r="C8" s="33"/>
      <c r="D8" s="37">
        <f>IF(ISERROR(TER_handel_gas_kWh/1000),0,TER_handel_gas_kWh/1000)*0.902</f>
        <v>2427.1642873305964</v>
      </c>
      <c r="E8" s="33">
        <f>$C$28*'E Balans VL '!I13/100/3.6*1000000</f>
        <v>132.8970619755909</v>
      </c>
      <c r="F8" s="33">
        <f>$C$28*('E Balans VL '!L13+'E Balans VL '!N13)/100/3.6*1000000</f>
        <v>705.74598382966474</v>
      </c>
      <c r="G8" s="34"/>
      <c r="H8" s="33"/>
      <c r="I8" s="33"/>
      <c r="J8" s="33">
        <f>$C$28*('E Balans VL '!D13+'E Balans VL '!E13)/100/3.6*1000000</f>
        <v>0</v>
      </c>
      <c r="K8" s="33"/>
      <c r="L8" s="33"/>
      <c r="M8" s="33"/>
      <c r="N8" s="33">
        <f>$C$28*'E Balans VL '!Y13/100/3.6*1000000</f>
        <v>5.0756447473634916</v>
      </c>
      <c r="O8" s="33"/>
      <c r="P8" s="33"/>
      <c r="R8" s="32"/>
    </row>
    <row r="9" spans="1:18">
      <c r="A9" s="32" t="s">
        <v>51</v>
      </c>
      <c r="B9" s="37">
        <f t="shared" si="0"/>
        <v>84.631869144356699</v>
      </c>
      <c r="C9" s="33"/>
      <c r="D9" s="37">
        <f>IF(ISERROR(TER_gezond_gas_kWh/1000),0,TER_gezond_gas_kWh/1000)*0.902</f>
        <v>118.84248245992501</v>
      </c>
      <c r="E9" s="33">
        <f>$C$29*'E Balans VL '!I10/100/3.6*1000000</f>
        <v>5.2987905971866927E-3</v>
      </c>
      <c r="F9" s="33">
        <f>$C$29*('E Balans VL '!L10+'E Balans VL '!N10)/100/3.6*1000000</f>
        <v>12.572321840895631</v>
      </c>
      <c r="G9" s="34"/>
      <c r="H9" s="33"/>
      <c r="I9" s="33"/>
      <c r="J9" s="33">
        <f>$C$29*('E Balans VL '!D10+'E Balans VL '!E10)/100/3.6*1000000</f>
        <v>0</v>
      </c>
      <c r="K9" s="33"/>
      <c r="L9" s="33"/>
      <c r="M9" s="33"/>
      <c r="N9" s="33">
        <f>$C$29*'E Balans VL '!Y10/100/3.6*1000000</f>
        <v>1.3090939182022268</v>
      </c>
      <c r="O9" s="33"/>
      <c r="P9" s="33"/>
      <c r="R9" s="32"/>
    </row>
    <row r="10" spans="1:18">
      <c r="A10" s="32" t="s">
        <v>50</v>
      </c>
      <c r="B10" s="37">
        <f t="shared" si="0"/>
        <v>912.00153286435705</v>
      </c>
      <c r="C10" s="33"/>
      <c r="D10" s="37">
        <f>IF(ISERROR(TER_ander_gas_kWh/1000),0,TER_ander_gas_kWh/1000)*0.902</f>
        <v>1031.8684484972316</v>
      </c>
      <c r="E10" s="33">
        <f>$C$30*'E Balans VL '!I14/100/3.6*1000000</f>
        <v>1.0870732377461747</v>
      </c>
      <c r="F10" s="33">
        <f>$C$30*('E Balans VL '!L14+'E Balans VL '!N14)/100/3.6*1000000</f>
        <v>238.62014540098207</v>
      </c>
      <c r="G10" s="34"/>
      <c r="H10" s="33"/>
      <c r="I10" s="33"/>
      <c r="J10" s="33">
        <f>$C$30*('E Balans VL '!D14+'E Balans VL '!E14)/100/3.6*1000000</f>
        <v>1.9795978331187663E-2</v>
      </c>
      <c r="K10" s="33"/>
      <c r="L10" s="33"/>
      <c r="M10" s="33"/>
      <c r="N10" s="33">
        <f>$C$30*'E Balans VL '!Y14/100/3.6*1000000</f>
        <v>774.44938534502796</v>
      </c>
      <c r="O10" s="33"/>
      <c r="P10" s="33"/>
      <c r="R10" s="32"/>
    </row>
    <row r="11" spans="1:18">
      <c r="A11" s="32" t="s">
        <v>55</v>
      </c>
      <c r="B11" s="37">
        <f t="shared" si="0"/>
        <v>36.334762183837803</v>
      </c>
      <c r="C11" s="33"/>
      <c r="D11" s="37">
        <f>IF(ISERROR(TER_onderwijs_gas_kWh/1000),0,TER_onderwijs_gas_kWh/1000)*0.902</f>
        <v>0</v>
      </c>
      <c r="E11" s="33">
        <f>$C$31*'E Balans VL '!I11/100/3.6*1000000</f>
        <v>0.54823303865470985</v>
      </c>
      <c r="F11" s="33">
        <f>$C$31*('E Balans VL '!L11+'E Balans VL '!N11)/100/3.6*1000000</f>
        <v>6.3664307997029121</v>
      </c>
      <c r="G11" s="34"/>
      <c r="H11" s="33"/>
      <c r="I11" s="33"/>
      <c r="J11" s="33">
        <f>$C$31*('E Balans VL '!D11+'E Balans VL '!E11)/100/3.6*1000000</f>
        <v>0</v>
      </c>
      <c r="K11" s="33"/>
      <c r="L11" s="33"/>
      <c r="M11" s="33"/>
      <c r="N11" s="33">
        <f>$C$31*'E Balans VL '!Y11/100/3.6*1000000</f>
        <v>0.10224878305913335</v>
      </c>
      <c r="O11" s="33"/>
      <c r="P11" s="33"/>
      <c r="R11" s="32"/>
    </row>
    <row r="12" spans="1:18">
      <c r="A12" s="32" t="s">
        <v>260</v>
      </c>
      <c r="B12" s="37">
        <f t="shared" si="0"/>
        <v>3426.0852958709702</v>
      </c>
      <c r="C12" s="33"/>
      <c r="D12" s="37">
        <f>IF(ISERROR(TER_rest_gas_kWh/1000),0,TER_rest_gas_kWh/1000)*0.902</f>
        <v>5086.1907509145049</v>
      </c>
      <c r="E12" s="33">
        <f>$C$32*'E Balans VL '!I8/100/3.6*1000000</f>
        <v>42.54506677897178</v>
      </c>
      <c r="F12" s="33">
        <f>$C$32*('E Balans VL '!L8+'E Balans VL '!N8)/100/3.6*1000000</f>
        <v>592.45476264175147</v>
      </c>
      <c r="G12" s="34"/>
      <c r="H12" s="33"/>
      <c r="I12" s="33"/>
      <c r="J12" s="33">
        <f>$C$32*('E Balans VL '!D8+'E Balans VL '!E8)/100/3.6*1000000</f>
        <v>8.2963520064152502E-3</v>
      </c>
      <c r="K12" s="33"/>
      <c r="L12" s="33"/>
      <c r="M12" s="33"/>
      <c r="N12" s="33">
        <f>$C$32*'E Balans VL '!Y8/100/3.6*1000000</f>
        <v>331.75008192213312</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12174.184472361161</v>
      </c>
      <c r="C16" s="21">
        <f t="shared" ca="1" si="1"/>
        <v>0</v>
      </c>
      <c r="D16" s="21">
        <f t="shared" ca="1" si="1"/>
        <v>13874.458073916114</v>
      </c>
      <c r="E16" s="21">
        <f t="shared" si="1"/>
        <v>193.02329906395309</v>
      </c>
      <c r="F16" s="21">
        <f t="shared" ca="1" si="1"/>
        <v>2138.2297366330558</v>
      </c>
      <c r="G16" s="21">
        <f t="shared" si="1"/>
        <v>0</v>
      </c>
      <c r="H16" s="21">
        <f t="shared" si="1"/>
        <v>0</v>
      </c>
      <c r="I16" s="21">
        <f t="shared" si="1"/>
        <v>0</v>
      </c>
      <c r="J16" s="21">
        <f t="shared" si="1"/>
        <v>2.8092330337602913E-2</v>
      </c>
      <c r="K16" s="21">
        <f t="shared" si="1"/>
        <v>0</v>
      </c>
      <c r="L16" s="21">
        <f t="shared" ca="1" si="1"/>
        <v>0</v>
      </c>
      <c r="M16" s="21">
        <f t="shared" si="1"/>
        <v>0</v>
      </c>
      <c r="N16" s="21">
        <f t="shared" ca="1" si="1"/>
        <v>1115.8169321784731</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0.14574541686719855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1774.331590942453</v>
      </c>
      <c r="C20" s="23">
        <f t="shared" ref="C20:P20" ca="1" si="2">C16*C18</f>
        <v>0</v>
      </c>
      <c r="D20" s="23">
        <f t="shared" ca="1" si="2"/>
        <v>2802.6405309310553</v>
      </c>
      <c r="E20" s="23">
        <f t="shared" si="2"/>
        <v>43.816288887517352</v>
      </c>
      <c r="F20" s="23">
        <f t="shared" ca="1" si="2"/>
        <v>570.90733968102597</v>
      </c>
      <c r="G20" s="23">
        <f t="shared" si="2"/>
        <v>0</v>
      </c>
      <c r="H20" s="23">
        <f t="shared" si="2"/>
        <v>0</v>
      </c>
      <c r="I20" s="23">
        <f t="shared" si="2"/>
        <v>0</v>
      </c>
      <c r="J20" s="23">
        <f t="shared" si="2"/>
        <v>9.944684939511431E-3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2939.1197969577602</v>
      </c>
      <c r="C26" s="39">
        <f>IF(ISERROR(B26*3.6/1000000/'E Balans VL '!Z12*100),0,B26*3.6/1000000/'E Balans VL '!Z12*100)</f>
        <v>6.2128336565844634E-2</v>
      </c>
      <c r="D26" s="237" t="s">
        <v>754</v>
      </c>
      <c r="F26" s="6"/>
    </row>
    <row r="27" spans="1:18">
      <c r="A27" s="231" t="s">
        <v>53</v>
      </c>
      <c r="B27" s="33">
        <f>IF(ISERROR(TER_horeca_ele_kWh/1000),0,TER_horeca_ele_kWh/1000)</f>
        <v>1111.89448486778</v>
      </c>
      <c r="C27" s="39">
        <f>IF(ISERROR(B27*3.6/1000000/'E Balans VL '!Z9*100),0,B27*3.6/1000000/'E Balans VL '!Z9*100)</f>
        <v>8.7650227817895457E-2</v>
      </c>
      <c r="D27" s="237" t="s">
        <v>754</v>
      </c>
      <c r="F27" s="6"/>
    </row>
    <row r="28" spans="1:18">
      <c r="A28" s="171" t="s">
        <v>52</v>
      </c>
      <c r="B28" s="33">
        <f>IF(ISERROR(TER_handel_ele_kWh/1000),0,TER_handel_ele_kWh/1000)</f>
        <v>3664.1167304720998</v>
      </c>
      <c r="C28" s="39">
        <f>IF(ISERROR(B28*3.6/1000000/'E Balans VL '!Z13*100),0,B28*3.6/1000000/'E Balans VL '!Z13*100)</f>
        <v>0.10634747220884738</v>
      </c>
      <c r="D28" s="237" t="s">
        <v>754</v>
      </c>
      <c r="F28" s="6"/>
    </row>
    <row r="29" spans="1:18">
      <c r="A29" s="231" t="s">
        <v>51</v>
      </c>
      <c r="B29" s="33">
        <f>IF(ISERROR(TER_gezond_ele_kWh/1000),0,TER_gezond_ele_kWh/1000)</f>
        <v>84.631869144356699</v>
      </c>
      <c r="C29" s="39">
        <f>IF(ISERROR(B29*3.6/1000000/'E Balans VL '!Z10*100),0,B29*3.6/1000000/'E Balans VL '!Z10*100)</f>
        <v>8.9131255128746065E-3</v>
      </c>
      <c r="D29" s="237" t="s">
        <v>754</v>
      </c>
      <c r="F29" s="6"/>
    </row>
    <row r="30" spans="1:18">
      <c r="A30" s="231" t="s">
        <v>50</v>
      </c>
      <c r="B30" s="33">
        <f>IF(ISERROR(TER_ander_ele_kWh/1000),0,TER_ander_ele_kWh/1000)</f>
        <v>912.00153286435705</v>
      </c>
      <c r="C30" s="39">
        <f>IF(ISERROR(B30*3.6/1000000/'E Balans VL '!Z14*100),0,B30*3.6/1000000/'E Balans VL '!Z14*100)</f>
        <v>6.7269431149822562E-2</v>
      </c>
      <c r="D30" s="237" t="s">
        <v>754</v>
      </c>
      <c r="F30" s="6"/>
    </row>
    <row r="31" spans="1:18">
      <c r="A31" s="231" t="s">
        <v>55</v>
      </c>
      <c r="B31" s="33">
        <f>IF(ISERROR(TER_onderwijs_ele_kWh/1000),0,TER_onderwijs_ele_kWh/1000)</f>
        <v>36.334762183837803</v>
      </c>
      <c r="C31" s="39">
        <f>IF(ISERROR(B31*3.6/1000000/'E Balans VL '!Z11*100),0,B31*3.6/1000000/'E Balans VL '!Z11*100)</f>
        <v>9.0236234707431109E-3</v>
      </c>
      <c r="D31" s="237" t="s">
        <v>754</v>
      </c>
    </row>
    <row r="32" spans="1:18">
      <c r="A32" s="231" t="s">
        <v>260</v>
      </c>
      <c r="B32" s="33">
        <f>IF(ISERROR(TER_rest_ele_kWh/1000),0,TER_rest_ele_kWh/1000)</f>
        <v>3426.0852958709702</v>
      </c>
      <c r="C32" s="39">
        <f>IF(ISERROR(B32*3.6/1000000/'E Balans VL '!Z8*100),0,B32*3.6/1000000/'E Balans VL '!Z8*100)</f>
        <v>2.8192134319070059E-2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0</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1467.2385354466899</v>
      </c>
      <c r="C5" s="17">
        <f>IF(ISERROR('Eigen informatie GS &amp; warmtenet'!B59),0,'Eigen informatie GS &amp; warmtenet'!B59)</f>
        <v>0</v>
      </c>
      <c r="D5" s="30">
        <f>SUM(D6:D15)</f>
        <v>3254.0499654099008</v>
      </c>
      <c r="E5" s="17">
        <f>SUM(E6:E15)</f>
        <v>238.8515253012346</v>
      </c>
      <c r="F5" s="17">
        <f>SUM(F6:F15)</f>
        <v>694.4412898835368</v>
      </c>
      <c r="G5" s="18"/>
      <c r="H5" s="17"/>
      <c r="I5" s="17"/>
      <c r="J5" s="17">
        <f>SUM(J6:J15)</f>
        <v>1.0573159330007178</v>
      </c>
      <c r="K5" s="17"/>
      <c r="L5" s="17"/>
      <c r="M5" s="17"/>
      <c r="N5" s="17">
        <f>SUM(N6:N15)</f>
        <v>343.90555990097232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23.614999999999998</v>
      </c>
      <c r="C8" s="33"/>
      <c r="D8" s="37">
        <f>IF( ISERROR(IND_metaal_Gas_kWH/1000),0,IND_metaal_Gas_kWH/1000)*0.902</f>
        <v>0</v>
      </c>
      <c r="E8" s="33">
        <f>C30*'E Balans VL '!I18/100/3.6*1000000</f>
        <v>0.21711711741609921</v>
      </c>
      <c r="F8" s="33">
        <f>C30*'E Balans VL '!L18/100/3.6*1000000+C30*'E Balans VL '!N18/100/3.6*1000000</f>
        <v>2.2143007770649099</v>
      </c>
      <c r="G8" s="34"/>
      <c r="H8" s="33"/>
      <c r="I8" s="33"/>
      <c r="J8" s="40">
        <f>C30*'E Balans VL '!D18/100/3.6*1000000+C30*'E Balans VL '!E18/100/3.6*1000000</f>
        <v>0</v>
      </c>
      <c r="K8" s="33"/>
      <c r="L8" s="33"/>
      <c r="M8" s="33"/>
      <c r="N8" s="33">
        <f>C30*'E Balans VL '!Y18/100/3.6*1000000</f>
        <v>0.33690700043090177</v>
      </c>
      <c r="O8" s="33"/>
      <c r="P8" s="33"/>
      <c r="R8" s="32"/>
    </row>
    <row r="9" spans="1:18">
      <c r="A9" s="6" t="s">
        <v>33</v>
      </c>
      <c r="B9" s="37">
        <f t="shared" si="0"/>
        <v>757.73487677656101</v>
      </c>
      <c r="C9" s="33"/>
      <c r="D9" s="37">
        <f>IF( ISERROR(IND_andere_gas_kWh/1000),0,IND_andere_gas_kWh/1000)*0.902</f>
        <v>887.16071564441529</v>
      </c>
      <c r="E9" s="33">
        <f>C31*'E Balans VL '!I19/100/3.6*1000000</f>
        <v>221.50065583992694</v>
      </c>
      <c r="F9" s="33">
        <f>C31*'E Balans VL '!L19/100/3.6*1000000+C31*'E Balans VL '!N19/100/3.6*1000000</f>
        <v>608.89732874999777</v>
      </c>
      <c r="G9" s="34"/>
      <c r="H9" s="33"/>
      <c r="I9" s="33"/>
      <c r="J9" s="40">
        <f>C31*'E Balans VL '!D19/100/3.6*1000000+C31*'E Balans VL '!E19/100/3.6*1000000</f>
        <v>0</v>
      </c>
      <c r="K9" s="33"/>
      <c r="L9" s="33"/>
      <c r="M9" s="33"/>
      <c r="N9" s="33">
        <f>C31*'E Balans VL '!Y19/100/3.6*1000000</f>
        <v>250.36735492172295</v>
      </c>
      <c r="O9" s="33"/>
      <c r="P9" s="33"/>
      <c r="R9" s="32"/>
    </row>
    <row r="10" spans="1:18">
      <c r="A10" s="6" t="s">
        <v>41</v>
      </c>
      <c r="B10" s="37">
        <f t="shared" si="0"/>
        <v>390.54744383791603</v>
      </c>
      <c r="C10" s="33"/>
      <c r="D10" s="37">
        <f>IF( ISERROR(IND_voed_gas_kWh/1000),0,IND_voed_gas_kWh/1000)*0.902</f>
        <v>1910.5630384895719</v>
      </c>
      <c r="E10" s="33">
        <f>C32*'E Balans VL '!I20/100/3.6*1000000</f>
        <v>0.82620917294894869</v>
      </c>
      <c r="F10" s="33">
        <f>C32*'E Balans VL '!L20/100/3.6*1000000+C32*'E Balans VL '!N20/100/3.6*1000000</f>
        <v>24.83140541173006</v>
      </c>
      <c r="G10" s="34"/>
      <c r="H10" s="33"/>
      <c r="I10" s="33"/>
      <c r="J10" s="40">
        <f>C32*'E Balans VL '!D20/100/3.6*1000000+C32*'E Balans VL '!E20/100/3.6*1000000</f>
        <v>0</v>
      </c>
      <c r="K10" s="33"/>
      <c r="L10" s="33"/>
      <c r="M10" s="33"/>
      <c r="N10" s="33">
        <f>C32*'E Balans VL '!Y20/100/3.6*1000000</f>
        <v>26.951627641163274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295.34121483221298</v>
      </c>
      <c r="C15" s="33"/>
      <c r="D15" s="37">
        <f>IF( ISERROR(IND_rest_gas_kWh/1000),0,IND_rest_gas_kWh/1000)*0.902</f>
        <v>456.32621127591335</v>
      </c>
      <c r="E15" s="33">
        <f>C37*'E Balans VL '!I15/100/3.6*1000000</f>
        <v>16.307543170942601</v>
      </c>
      <c r="F15" s="33">
        <f>C37*'E Balans VL '!L15/100/3.6*1000000+C37*'E Balans VL '!N15/100/3.6*1000000</f>
        <v>58.498254944744062</v>
      </c>
      <c r="G15" s="34"/>
      <c r="H15" s="33"/>
      <c r="I15" s="33"/>
      <c r="J15" s="40">
        <f>C37*'E Balans VL '!D15/100/3.6*1000000+C37*'E Balans VL '!E15/100/3.6*1000000</f>
        <v>1.0573159330007178</v>
      </c>
      <c r="K15" s="33"/>
      <c r="L15" s="33"/>
      <c r="M15" s="33"/>
      <c r="N15" s="33">
        <f>C37*'E Balans VL '!Y15/100/3.6*1000000</f>
        <v>66.249670337655147</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1467.2385354466899</v>
      </c>
      <c r="C18" s="21">
        <f>C5+C16</f>
        <v>0</v>
      </c>
      <c r="D18" s="21">
        <f>MAX((D5+D16),0)</f>
        <v>3254.0499654099008</v>
      </c>
      <c r="E18" s="21">
        <f>MAX((E5+E16),0)</f>
        <v>238.8515253012346</v>
      </c>
      <c r="F18" s="21">
        <f>MAX((F5+F16),0)</f>
        <v>694.4412898835368</v>
      </c>
      <c r="G18" s="21"/>
      <c r="H18" s="21"/>
      <c r="I18" s="21"/>
      <c r="J18" s="21">
        <f>MAX((J5+J16),0)</f>
        <v>1.0573159330007178</v>
      </c>
      <c r="K18" s="21"/>
      <c r="L18" s="21">
        <f>MAX((L5+L16),0)</f>
        <v>0</v>
      </c>
      <c r="M18" s="21"/>
      <c r="N18" s="21">
        <f>MAX((N5+N16),0)</f>
        <v>343.90555990097232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0.14574541686719855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213.84329199229569</v>
      </c>
      <c r="C22" s="23">
        <f ca="1">C18*C20</f>
        <v>0</v>
      </c>
      <c r="D22" s="23">
        <f>D18*D20</f>
        <v>657.31809301279998</v>
      </c>
      <c r="E22" s="23">
        <f>E18*E20</f>
        <v>54.219296243380256</v>
      </c>
      <c r="F22" s="23">
        <f>F18*F20</f>
        <v>185.41582439890433</v>
      </c>
      <c r="G22" s="23"/>
      <c r="H22" s="23"/>
      <c r="I22" s="23"/>
      <c r="J22" s="23">
        <f>J18*J20</f>
        <v>0.37428984028225409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23.614999999999998</v>
      </c>
      <c r="C30" s="39">
        <f>IF(ISERROR(B30*3.6/1000000/'E Balans VL '!Z18*100),0,B30*3.6/1000000/'E Balans VL '!Z18*100)</f>
        <v>1.3383226028204475E-3</v>
      </c>
      <c r="D30" s="237" t="s">
        <v>754</v>
      </c>
    </row>
    <row r="31" spans="1:18">
      <c r="A31" s="6" t="s">
        <v>33</v>
      </c>
      <c r="B31" s="37">
        <f>IF( ISERROR(IND_ander_ele_kWh/1000),0,IND_ander_ele_kWh/1000)</f>
        <v>757.73487677656101</v>
      </c>
      <c r="C31" s="39">
        <f>IF(ISERROR(B31*3.6/1000000/'E Balans VL '!Z19*100),0,B31*3.6/1000000/'E Balans VL '!Z19*100)</f>
        <v>3.436769885747238E-2</v>
      </c>
      <c r="D31" s="237" t="s">
        <v>754</v>
      </c>
    </row>
    <row r="32" spans="1:18">
      <c r="A32" s="171" t="s">
        <v>41</v>
      </c>
      <c r="B32" s="37">
        <f>IF( ISERROR(IND_voed_ele_kWh/1000),0,IND_voed_ele_kWh/1000)</f>
        <v>390.54744383791603</v>
      </c>
      <c r="C32" s="39">
        <f>IF(ISERROR(B32*3.6/1000000/'E Balans VL '!Z20*100),0,B32*3.6/1000000/'E Balans VL '!Z20*100)</f>
        <v>1.2081405373603065E-2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295.34121483221298</v>
      </c>
      <c r="C37" s="39">
        <f>IF(ISERROR(B37*3.6/1000000/'E Balans VL '!Z15*100),0,B37*3.6/1000000/'E Balans VL '!Z15*100)</f>
        <v>2.3409418410529027E-3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184.6419862377868</v>
      </c>
      <c r="C5" s="17">
        <f>'Eigen informatie GS &amp; warmtenet'!B60</f>
        <v>0</v>
      </c>
      <c r="D5" s="30">
        <f>IF(ISERROR(SUM(LB_lb_gas_kWh,LB_rest_gas_kWh,onbekend_gas_kWh)/1000),0,SUM(LB_lb_gas_kWh,LB_rest_gas_kWh,onbekend_gas_kWh)/1000)*0.902</f>
        <v>827.66126256120913</v>
      </c>
      <c r="E5" s="17">
        <f>B17*'E Balans VL '!I25/3.6*1000000/100</f>
        <v>5.4271919372478301</v>
      </c>
      <c r="F5" s="17">
        <f>B17*('E Balans VL '!L25/3.6*1000000+'E Balans VL '!N25/3.6*1000000)/100</f>
        <v>769.20853713738074</v>
      </c>
      <c r="G5" s="18"/>
      <c r="H5" s="17"/>
      <c r="I5" s="17"/>
      <c r="J5" s="17">
        <f>('E Balans VL '!D25+'E Balans VL '!E25)/3.6*1000000*landbouw!B17/100</f>
        <v>26.75065857381129</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184.6419862377868</v>
      </c>
      <c r="C8" s="21">
        <f>C5+C6</f>
        <v>0</v>
      </c>
      <c r="D8" s="21">
        <f>MAX((D5+D6),0)</f>
        <v>827.66126256120913</v>
      </c>
      <c r="E8" s="21">
        <f>MAX((E5+E6),0)</f>
        <v>5.4271919372478301</v>
      </c>
      <c r="F8" s="21">
        <f>MAX((F5+F6),0)</f>
        <v>769.20853713738074</v>
      </c>
      <c r="G8" s="21"/>
      <c r="H8" s="21"/>
      <c r="I8" s="21"/>
      <c r="J8" s="21">
        <f>MAX((J5+J6),0)</f>
        <v>26.75065857381129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0.14574541686719855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26.910723255413775</v>
      </c>
      <c r="C12" s="23">
        <f ca="1">C8*C10</f>
        <v>0</v>
      </c>
      <c r="D12" s="23">
        <f>D8*D10</f>
        <v>167.18757503736424</v>
      </c>
      <c r="E12" s="23">
        <f>E8*E10</f>
        <v>1.2319725697552575</v>
      </c>
      <c r="F12" s="23">
        <f>F8*F10</f>
        <v>205.37867941568066</v>
      </c>
      <c r="G12" s="23"/>
      <c r="H12" s="23"/>
      <c r="I12" s="23"/>
      <c r="J12" s="23">
        <f>J8*J10</f>
        <v>9.4697331351291965</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2.6201277143707024E-2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33.464346680407864</v>
      </c>
      <c r="C26" s="247">
        <f>B26*'GWP N2O_CH4'!B5</f>
        <v>702.75128028856511</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6.5270737856988275</v>
      </c>
      <c r="C27" s="247">
        <f>B27*'GWP N2O_CH4'!B5</f>
        <v>137.06854949967538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0.31049163450049766</v>
      </c>
      <c r="C28" s="247">
        <f>B28*'GWP N2O_CH4'!B4</f>
        <v>96.252406695154278</v>
      </c>
      <c r="D28" s="50"/>
    </row>
    <row r="29" spans="1:4">
      <c r="A29" s="41" t="s">
        <v>277</v>
      </c>
      <c r="B29" s="247">
        <f>B34*'ha_N2O bodem landbouw'!B4</f>
        <v>1.7939656613613582</v>
      </c>
      <c r="C29" s="247">
        <f>B29*'GWP N2O_CH4'!B4</f>
        <v>556.12935502202106</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4.0937678164196126E-4</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8.5684329355405214E-5</v>
      </c>
      <c r="C5" s="463" t="s">
        <v>211</v>
      </c>
      <c r="D5" s="448">
        <f>SUM(D6:D11)</f>
        <v>2.687719409714209E-4</v>
      </c>
      <c r="E5" s="448">
        <f>SUM(E6:E11)</f>
        <v>3.6517822802009816E-4</v>
      </c>
      <c r="F5" s="461" t="s">
        <v>211</v>
      </c>
      <c r="G5" s="448">
        <f>SUM(G6:G11)</f>
        <v>0.19733988006046452</v>
      </c>
      <c r="H5" s="448">
        <f>SUM(H6:H11)</f>
        <v>3.052006950542371E-2</v>
      </c>
      <c r="I5" s="463" t="s">
        <v>211</v>
      </c>
      <c r="J5" s="463" t="s">
        <v>211</v>
      </c>
      <c r="K5" s="463" t="s">
        <v>211</v>
      </c>
      <c r="L5" s="463" t="s">
        <v>211</v>
      </c>
      <c r="M5" s="448">
        <f>SUM(M6:M11)</f>
        <v>1.2435639523471003E-2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8.0023374954446102E-5</v>
      </c>
      <c r="C6" s="449"/>
      <c r="D6" s="962">
        <f>vkm_2011_GW_PW*SUMIFS(TableVerdeelsleutelVkm[CNG],TableVerdeelsleutelVkm[Voertuigtype],"Lichte voertuigen")*SUMIFS(TableECFTransport[EnergieConsumptieFactor (PJ per km)],TableECFTransport[Index],CONCATENATE($A6,"_CNG_CNG"))</f>
        <v>2.4002419562388342E-4</v>
      </c>
      <c r="E6" s="962">
        <f>vkm_2011_GW_PW*SUMIFS(TableVerdeelsleutelVkm[LPG],TableVerdeelsleutelVkm[Voertuigtype],"Lichte voertuigen")*SUMIFS(TableECFTransport[EnergieConsumptieFactor (PJ per km)],TableECFTransport[Index],CONCATENATE($A6,"_LPG_LPG"))</f>
        <v>3.2790752899878353E-4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8.4781855484326013E-2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2.7295215464652824E-2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5.7634579385112033E-3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0.10211604251764277</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3.111745116019796E-5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5.9673224483497225E-3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5.0040613502250887E-6</v>
      </c>
      <c r="C8" s="449"/>
      <c r="D8" s="451">
        <f>vkm_2011_NGW_PW*SUMIFS(TableVerdeelsleutelVkm[CNG],TableVerdeelsleutelVkm[Voertuigtype],"Lichte voertuigen")*SUMIFS(TableECFTransport[EnergieConsumptieFactor (PJ per km)],TableECFTransport[Index],CONCATENATE($A8,"_CNG_CNG"))</f>
        <v>2.6686724841404263E-5</v>
      </c>
      <c r="E8" s="451">
        <f>vkm_2011_NGW_PW*SUMIFS(TableVerdeelsleutelVkm[LPG],TableVerdeelsleutelVkm[Voertuigtype],"Lichte voertuigen")*SUMIFS(TableECFTransport[EnergieConsumptieFactor (PJ per km)],TableECFTransport[Index],CONCATENATE($A8,"_LPG_LPG"))</f>
        <v>3.3764151947467342E-5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8.1353076156967762E-3</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2.9491385263646984E-3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5.6282832461993068E-4</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1.0110098032971593E-3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2.9003196144864157E-7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5.9079520317161889E-5</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6.5689305073401419E-7</v>
      </c>
      <c r="C10" s="449"/>
      <c r="D10" s="451">
        <f>vkm_2011_SW_PW*SUMIFS(TableVerdeelsleutelVkm[CNG],TableVerdeelsleutelVkm[Voertuigtype],"Lichte voertuigen")*SUMIFS(TableECFTransport[EnergieConsumptieFactor (PJ per km)],TableECFTransport[Index],CONCATENATE($A10,"_CNG_CNG"))</f>
        <v>2.0610205061332132E-6</v>
      </c>
      <c r="E10" s="451">
        <f>vkm_2011_SW_PW*SUMIFS(TableVerdeelsleutelVkm[LPG],TableVerdeelsleutelVkm[Voertuigtype],"Lichte voertuigen")*SUMIFS(TableECFTransport[EnergieConsumptieFactor (PJ per km)],TableECFTransport[Index],CONCATENATE($A10,"_LPG_LPG"))</f>
        <v>3.5065470738472788E-6</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8.082670452970428E-4</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2.4414764288663689E-4</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5.4469042620048641E-5</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4.8739759420478117E-4</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1.6038839790694902E-7</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2.8482249052935392E-5</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23.80120259872367</v>
      </c>
      <c r="C14" s="21"/>
      <c r="D14" s="21">
        <f t="shared" ref="D14:M14" si="0">((D5)*10^9/3600)+D12</f>
        <v>74.658872492061363</v>
      </c>
      <c r="E14" s="21">
        <f t="shared" si="0"/>
        <v>101.4383966722495</v>
      </c>
      <c r="F14" s="21"/>
      <c r="G14" s="21">
        <f t="shared" si="0"/>
        <v>54816.633350129036</v>
      </c>
      <c r="H14" s="21">
        <f t="shared" si="0"/>
        <v>8477.79708483992</v>
      </c>
      <c r="I14" s="21"/>
      <c r="J14" s="21"/>
      <c r="K14" s="21"/>
      <c r="L14" s="21"/>
      <c r="M14" s="21">
        <f t="shared" si="0"/>
        <v>3454.3443120752786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0.14574541686719855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3.4689161946916309</v>
      </c>
      <c r="C18" s="23"/>
      <c r="D18" s="23">
        <f t="shared" ref="D18:M18" si="1">D14*D16</f>
        <v>15.081092243396396</v>
      </c>
      <c r="E18" s="23">
        <f t="shared" si="1"/>
        <v>23.026516044600637</v>
      </c>
      <c r="F18" s="23"/>
      <c r="G18" s="23">
        <f t="shared" si="1"/>
        <v>14636.041104484453</v>
      </c>
      <c r="H18" s="23">
        <f t="shared" si="1"/>
        <v>2110.97147412514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2.3138750075412245E-3</v>
      </c>
      <c r="H50" s="321">
        <f t="shared" si="2"/>
        <v>0</v>
      </c>
      <c r="I50" s="321">
        <f t="shared" si="2"/>
        <v>0</v>
      </c>
      <c r="J50" s="321">
        <f t="shared" si="2"/>
        <v>0</v>
      </c>
      <c r="K50" s="321">
        <f t="shared" si="2"/>
        <v>0</v>
      </c>
      <c r="L50" s="321">
        <f t="shared" si="2"/>
        <v>0</v>
      </c>
      <c r="M50" s="321">
        <f t="shared" si="2"/>
        <v>1.3141788565037641E-4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2.3138750075412245E-3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1.3141788565037641E-4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642.74305765034012</v>
      </c>
      <c r="H54" s="21">
        <f t="shared" si="3"/>
        <v>0</v>
      </c>
      <c r="I54" s="21">
        <f t="shared" si="3"/>
        <v>0</v>
      </c>
      <c r="J54" s="21">
        <f t="shared" si="3"/>
        <v>0</v>
      </c>
      <c r="K54" s="21">
        <f t="shared" si="3"/>
        <v>0</v>
      </c>
      <c r="L54" s="21">
        <f t="shared" si="3"/>
        <v>0</v>
      </c>
      <c r="M54" s="21">
        <f t="shared" si="3"/>
        <v>36.504968236215667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0.14574541686719855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171.61239639264082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7750.5909595559906</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1947.0712704814648</v>
      </c>
      <c r="C6" s="1204"/>
      <c r="D6" s="1189"/>
      <c r="E6" s="1189"/>
      <c r="F6" s="1207"/>
      <c r="G6" s="1210"/>
      <c r="H6" s="1201"/>
      <c r="I6" s="1189"/>
      <c r="J6" s="1189"/>
      <c r="K6" s="1189"/>
      <c r="L6" s="1193"/>
      <c r="M6" s="575"/>
      <c r="N6" s="1167"/>
      <c r="O6" s="1168"/>
      <c r="Q6" s="573"/>
      <c r="R6" s="1155"/>
      <c r="S6" s="1155"/>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9697.6622300374547</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2018-09-06T12:45:54Z</dcterms:modified>
</cp:coreProperties>
</file>