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7" l="1"/>
  <c r="C31" s="1"/>
  <c r="C28"/>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<sst xmlns="http://schemas.openxmlformats.org/spreadsheetml/2006/main" count="1993" uniqueCount="839">
  <si>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</si>
  <si>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</si>
  <si>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</si>
  <si>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</si>
  <si>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</si>
  <si>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</si>
  <si>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</si>
  <si>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</si>
  <si>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</si>
  <si>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</si>
  <si>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</si>
  <si>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</si>
  <si>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</si>
  <si>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</si>
  <si>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</si>
  <si>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</si>
  <si>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</si>
  <si>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</si>
  <si>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</si>
  <si>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</si>
  <si>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</si>
  <si>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</si>
  <si>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</si>
  <si>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</si>
  <si>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</si>
  <si>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</si>
  <si>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</si>
  <si>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</si>
  <si>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</si>
  <si>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</si>
  <si>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</si>
  <si>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</si>
  <si>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</si>
  <si>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</si>
  <si>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</si>
  <si>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</si>
  <si>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</si>
  <si>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</si>
  <si>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</si>
  <si>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</si>
  <si>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</si>
  <si>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</si>
  <si>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</si>
  <si>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</si>
  <si>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</si>
  <si>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</si>
  <si>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</si>
  <si>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</si>
  <si>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</si>
  <si>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</si>
  <si>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</si>
  <si>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</si>
  <si>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</si>
  <si>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</si>
  <si>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</si>
  <si>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</si>
  <si>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</si>
  <si>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</si>
  <si>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</si>
  <si>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</si>
  <si>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</si>
  <si>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</si>
  <si>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</si>
  <si>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</si>
  <si>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</si>
  <si>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</si>
  <si>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</si>
  <si>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</si>
  <si>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</si>
  <si>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</si>
  <si>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</si>
  <si>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</si>
  <si>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</si>
  <si>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</si>
  <si>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</si>
  <si>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</si>
  <si>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</si>
  <si>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</si>
  <si>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</si>
  <si>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</si>
  <si>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</si>
  <si>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</si>
  <si>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</si>
  <si>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</si>
  <si>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</si>
  <si>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</si>
  <si>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</si>
  <si>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</si>
  <si>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</si>
  <si>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</si>
  <si>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</si>
  <si>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</si>
  <si>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</si>
  <si>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</si>
  <si>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</si>
  <si>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</si>
  <si>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</si>
  <si>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</si>
  <si>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</si>
  <si>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</si>
  <si>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</si>
  <si>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</si>
  <si>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</si>
  <si>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</si>
  <si>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</si>
  <si>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</si>
  <si>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</si>
  <si>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</si>
  <si>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</si>
  <si>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</si>
  <si>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</si>
  <si>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</si>
  <si>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</si>
  <si>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</si>
  <si>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</si>
  <si>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</si>
  <si>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</si>
  <si>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</si>
  <si>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</si>
  <si>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</si>
  <si>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</si>
  <si>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</si>
  <si>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</si>
  <si>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</si>
  <si>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</si>
  <si>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</si>
  <si>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</si>
  <si>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</si>
  <si>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</si>
  <si>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</si>
  <si>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</si>
  <si>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</si>
  <si>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</si>
  <si>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</si>
  <si>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</si>
  <si>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</si>
  <si>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</si>
  <si>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</si>
  <si>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</si>
  <si>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</si>
  <si>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</si>
  <si>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</si>
  <si>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</si>
  <si>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</si>
  <si>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</si>
  <si>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</si>
  <si>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</si>
  <si>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</si>
  <si>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</si>
  <si>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</si>
  <si>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</si>
  <si>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</si>
  <si>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</si>
  <si>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</si>
  <si>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</si>
  <si>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</si>
  <si>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</si>
  <si>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</si>
  <si>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</si>
  <si>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</si>
  <si>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</si>
  <si>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</si>
  <si>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</si>
  <si>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</si>
  <si>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</si>
  <si>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</si>
  <si>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</si>
  <si>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</si>
  <si>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</si>
  <si>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</si>
  <si>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</si>
  <si>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</si>
  <si>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</si>
  <si>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</si>
  <si>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</si>
  <si>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</si>
  <si>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</si>
  <si>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</si>
  <si>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</si>
  <si>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</si>
  <si>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</si>
  <si>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</si>
  <si>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</si>
  <si>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</si>
  <si>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</si>
  <si>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</si>
  <si>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</si>
  <si>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</si>
  <si>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</si>
  <si>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</si>
  <si>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</si>
  <si>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</si>
  <si>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</si>
  <si>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</si>
  <si>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</si>
  <si>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</si>
  <si>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</si>
  <si>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</si>
  <si>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</si>
  <si>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</si>
  <si>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</si>
  <si>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</si>
  <si>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</si>
  <si>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</si>
  <si>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</si>
  <si>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</si>
  <si>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</si>
  <si>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</si>
  <si>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</si>
  <si>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</si>
  <si>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</si>
  <si>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</si>
  <si>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</si>
  <si>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</si>
  <si>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</si>
  <si>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</si>
  <si>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</si>
  <si>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</si>
  <si>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</si>
  <si>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</si>
  <si>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</si>
  <si>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</si>
  <si>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</si>
  <si>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</si>
  <si>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</si>
  <si>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</si>
  <si>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</si>
  <si>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</si>
  <si>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</si>
  <si>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</si>
  <si>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</si>
  <si>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</si>
  <si>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</si>
  <si>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</si>
  <si>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</si>
  <si>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</si>
  <si>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</si>
  <si>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</si>
  <si>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</si>
  <si>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</si>
  <si>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</si>
  <si>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</si>
  <si>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</si>
  <si>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</si>
  <si>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</si>
  <si>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</si>
  <si>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</si>
  <si>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</si>
  <si>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</si>
  <si>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</si>
  <si>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</si>
  <si>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</si>
  <si>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</si>
  <si>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</si>
  <si>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</si>
  <si>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</si>
  <si>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</si>
  <si>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</si>
  <si>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</si>
  <si>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</si>
  <si>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</si>
  <si>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</si>
  <si>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</si>
  <si>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</si>
  <si>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</si>
  <si>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</si>
  <si>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</si>
  <si>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</si>
  <si>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</si>
  <si>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</si>
  <si>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</si>
  <si>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</si>
  <si>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</si>
  <si>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</si>
  <si>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</si>
  <si>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</si>
  <si>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</si>
  <si>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</si>
  <si>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</si>
  <si>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</si>
  <si>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</si>
  <si>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</si>
  <si>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</si>
  <si>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</si>
  <si>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</si>
  <si>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</si>
  <si>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</si>
  <si>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</si>
  <si>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</si>
  <si>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</si>
  <si>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</si>
  <si>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</si>
  <si>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</si>
  <si>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</si>
  <si>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</si>
  <si>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</si>
  <si>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</si>
  <si>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</si>
  <si>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</si>
  <si>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</si>
  <si>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</si>
  <si>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</si>
  <si>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</si>
  <si>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</si>
  <si>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</si>
  <si>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</si>
  <si>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</si>
  <si>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</si>
  <si>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</si>
  <si>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</si>
  <si>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</si>
  <si>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</si>
  <si>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</si>
  <si>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</si>
  <si>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</si>
  <si>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</si>
  <si>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</si>
  <si>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</si>
  <si>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</si>
  <si>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</si>
  <si>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</si>
  <si>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</si>
  <si>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</si>
  <si>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</si>
  <si>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</si>
  <si>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</si>
  <si>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</si>
  <si>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</si>
  <si>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</si>
  <si>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</si>
  <si>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</si>
  <si>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</si>
  <si>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</si>
  <si>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</si>
  <si>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</si>
  <si>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</si>
  <si>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</si>
  <si>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</si>
  <si>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</si>
  <si>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</si>
  <si>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</si>
  <si>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</si>
  <si>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</si>
  <si>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</si>
  <si>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</si>
  <si>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</si>
  <si>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</si>
  <si>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</si>
  <si>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</si>
  <si>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</si>
  <si>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</si>
  <si>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</si>
  <si>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</si>
  <si>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</si>
  <si>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</si>
  <si>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</si>
  <si>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</si>
  <si>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</si>
  <si>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</si>
  <si>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</si>
  <si>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</si>
  <si>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</si>
  <si>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</si>
  <si>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</si>
  <si>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</si>
  <si>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</si>
  <si>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</si>
  <si>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</si>
  <si>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</si>
  <si>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</si>
  <si>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</si>
  <si>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</si>
  <si>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</si>
  <si>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</si>
  <si>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</si>
  <si>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</si>
  <si>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</si>
  <si>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</si>
  <si>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</si>
  <si>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</si>
  <si>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</si>
  <si>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</si>
  <si>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</si>
  <si>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</si>
  <si>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</si>
  <si>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</si>
  <si>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</si>
  <si>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</si>
  <si>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</si>
  <si>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</si>
  <si>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</si>
  <si>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</si>
  <si>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</si>
  <si>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</si>
  <si>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</si>
  <si>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</si>
  <si>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</si>
  <si>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</si>
  <si>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</si>
  <si>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</si>
  <si>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</si>
  <si>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</si>
  <si>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</si>
  <si>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</si>
  <si>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</si>
  <si>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</si>
  <si>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</si>
  <si>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</si>
  <si>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</si>
  <si>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</si>
  <si>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</si>
  <si>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</si>
  <si>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</si>
  <si>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</si>
  <si>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</si>
  <si>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</si>
  <si>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</si>
  <si>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</si>
  <si>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</si>
  <si>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</si>
  <si>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</si>
  <si>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</si>
  <si>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</si>
  <si>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</si>
  <si>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</si>
  <si>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</si>
  <si>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</si>
  <si>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</si>
  <si>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</si>
  <si>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</si>
  <si>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</si>
  <si>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</si>
  <si>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</si>
  <si>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</si>
  <si>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</si>
  <si>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</si>
  <si>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</si>
  <si>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</si>
  <si>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</si>
  <si>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</si>
  <si>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</si>
  <si>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</si>
  <si>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</si>
  <si>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</si>
  <si>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</si>
  <si>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</si>
  <si>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</si>
  <si>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</si>
  <si>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</si>
  <si>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</si>
  <si>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</si>
  <si>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</si>
  <si>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</si>
  <si>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</si>
  <si>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</si>
  <si>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</si>
  <si>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</si>
  <si>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</si>
  <si>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</si>
  <si>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</si>
  <si>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</si>
  <si>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</si>
  <si>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</si>
  <si>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</si>
  <si>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</si>
  <si>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</si>
  <si>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</si>
  <si>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</si>
  <si>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</si>
  <si>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</si>
  <si>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</si>
  <si>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</si>
  <si>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</si>
  <si>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</si>
  <si>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</si>
  <si>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</si>
  <si>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</si>
  <si>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</si>
  <si>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</si>
  <si>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</si>
  <si>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</si>
  <si>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</si>
  <si>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</si>
  <si>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</si>
  <si>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</si>
  <si>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</si>
  <si>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</si>
  <si>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</si>
  <si>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</si>
  <si>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</si>
  <si>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</si>
  <si>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</si>
  <si>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</si>
  <si>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</si>
  <si>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</si>
  <si>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</si>
  <si>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</si>
  <si>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</si>
  <si>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</si>
  <si>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</si>
  <si>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</si>
  <si>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</si>
  <si>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</si>
  <si>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</si>
  <si>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</si>
  <si>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</si>
  <si>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</si>
  <si>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</si>
  <si>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</si>
  <si>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</si>
  <si>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</si>
  <si>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</si>
  <si>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</si>
  <si>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</si>
  <si>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</si>
  <si>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</si>
  <si>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</si>
  <si>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</si>
  <si>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</si>
  <si>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</si>
  <si>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</si>
  <si>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</si>
  <si>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</si>
  <si>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</si>
  <si>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</si>
  <si>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</si>
  <si>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</si>
  <si>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</si>
  <si>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</si>
  <si>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</si>
  <si>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</si>
  <si>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</si>
  <si>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</si>
  <si>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</si>
  <si>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</si>
  <si>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</si>
  <si>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</si>
  <si>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</si>
  <si>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</si>
  <si>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</si>
  <si>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</si>
  <si>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</si>
  <si>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</si>
  <si>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</si>
  <si>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</si>
  <si>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</si>
  <si>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</si>
  <si>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</si>
  <si>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</si>
  <si>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</si>
  <si>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</si>
  <si>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</si>
  <si>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</si>
  <si>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</si>
  <si>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</si>
  <si>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</si>
  <si>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</si>
  <si>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</si>
  <si>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</si>
  <si>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</si>
  <si>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</si>
  <si>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</si>
  <si>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</si>
  <si>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</si>
  <si>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</si>
  <si>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</si>
  <si>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</si>
  <si>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</si>
  <si>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</si>
  <si>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</si>
  <si>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</si>
  <si>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</si>
  <si>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</si>
  <si>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</si>
  <si>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</si>
  <si>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</si>
  <si>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</si>
  <si>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</si>
  <si>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</si>
  <si>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</si>
  <si>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</si>
  <si>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</si>
  <si>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</si>
  <si>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</si>
  <si>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</si>
  <si>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</si>
  <si>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</si>
  <si>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</si>
  <si>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</si>
  <si>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</si>
  <si>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</si>
  <si>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</si>
  <si>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</si>
  <si>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</si>
  <si>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</si>
  <si>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</si>
  <si>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</si>
  <si>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</si>
  <si>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</si>
  <si>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</si>
  <si>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</si>
  <si>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</si>
  <si>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</si>
  <si>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</si>
  <si>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</si>
  <si>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</si>
  <si>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</si>
  <si>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</si>
  <si>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</si>
  <si>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</si>
  <si>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</si>
  <si>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</si>
  <si>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</si>
  <si>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</si>
  <si>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</si>
  <si>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</si>
  <si>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</si>
  <si>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</si>
  <si>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</si>
  <si>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</si>
  <si>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</si>
  <si>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</si>
  <si>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</si>
  <si>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</si>
  <si>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</si>
  <si>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</si>
  <si>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</si>
  <si>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</si>
  <si>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</si>
  <si>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</si>
  <si>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</si>
  <si>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</si>
  <si>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</si>
  <si>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</si>
  <si>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</si>
  <si>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</si>
  <si>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</si>
  <si>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</si>
  <si>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</si>
  <si>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</si>
  <si>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</si>
  <si>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</si>
  <si>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</si>
  <si>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</si>
  <si>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</si>
  <si>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</si>
  <si>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</si>
  <si>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</si>
  <si>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</si>
  <si>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</si>
  <si>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</si>
  <si>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</si>
  <si>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</si>
  <si>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</si>
  <si>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</si>
  <si>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</si>
  <si>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</si>
  <si>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</si>
  <si>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</si>
  <si>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</si>
  <si>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</si>
  <si>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</si>
  <si>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</si>
  <si>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</si>
  <si>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</si>
  <si>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</si>
  <si>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</si>
  <si>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</si>
  <si>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</si>
  <si>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</si>
  <si>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</si>
  <si>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</si>
  <si>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</si>
  <si>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</si>
  <si>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</si>
  <si>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</si>
  <si>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</si>
  <si>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</si>
  <si>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</si>
  <si>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</si>
  <si>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</si>
  <si>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</si>
  <si>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</si>
  <si>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</si>
  <si>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</si>
  <si>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</si>
  <si>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</si>
  <si>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</si>
  <si>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</si>
  <si>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</si>
  <si>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</si>
  <si>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</si>
  <si>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</si>
  <si>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</si>
  <si>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</si>
  <si>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</si>
  <si>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</si>
  <si>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</si>
  <si>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</si>
  <si>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</si>
  <si>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</si>
  <si>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</si>
  <si>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</si>
  <si>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</si>
  <si>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</si>
  <si>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</si>
  <si>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</si>
  <si>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</si>
  <si>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</si>
  <si>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</si>
  <si>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</si>
  <si>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</si>
  <si>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</si>
  <si>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</si>
  <si>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</si>
  <si>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</si>
  <si>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</si>
  <si>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</si>
  <si>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</si>
  <si>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</si>
  <si>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</si>
  <si>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</si>
  <si>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</si>
  <si>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</si>
  <si>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</si>
  <si>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</si>
  <si>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</si>
  <si>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</si>
  <si>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</si>
  <si>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</si>
  <si>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</si>
  <si>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</si>
  <si>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</si>
  <si>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</si>
  <si>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</si>
  <si>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</si>
  <si>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</si>
  <si>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</si>
  <si>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</si>
  <si>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</si>
  <si>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</si>
  <si>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</si>
  <si>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</si>
  <si>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</si>
  <si>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</si>
  <si>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</si>
  <si>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</si>
  <si>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</si>
  <si>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</si>
  <si>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</si>
  <si>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</si>
  <si>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</si>
  <si>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</si>
  <si>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</si>
  <si>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</si>
  <si>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</si>
  <si>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</si>
  <si>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</si>
  <si>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</si>
  <si>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</si>
  <si>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</si>
  <si>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</si>
  <si>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</si>
  <si>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</si>
  <si>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</si>
  <si>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</si>
  <si>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</si>
  <si>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</si>
  <si>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</si>
  <si>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</si>
  <si>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</si>
  <si>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</si>
  <si>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</si>
  <si>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</si>
  <si>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</si>
  <si>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</si>
  <si>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</si>
  <si>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</si>
  <si>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</si>
  <si>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</si>
  <si>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</si>
  <si>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</si>
  <si>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</si>
  <si>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</si>
  <si>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</si>
  <si>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</si>
  <si>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</si>
  <si>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</si>
  <si>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</si>
  <si>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</si>
  <si>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</si>
  <si>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</si>
  <si>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</si>
  <si>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</si>
  <si>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</si>
  <si>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</si>
  <si>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</si>
  <si>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</si>
  <si>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</si>
  <si>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</si>
  <si>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</si>
  <si>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11037</t>
  </si>
  <si>
    <t>RUMST</t>
  </si>
  <si>
    <t>Eandis (januari 2018); Infrax (juni 2018)</t>
  </si>
  <si>
    <t>MOW (september 2017)</t>
  </si>
  <si>
    <t>referentietaak LNE (2017); Jaarverslag De Lijn (2016)</t>
  </si>
  <si>
    <t>VEA (april 2018)</t>
  </si>
  <si>
    <t>VEA (januari 2017)</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</si>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</sst>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105478.22153898461</c:v>
                </c:pt>
                <c:pt idx="1">
                  <c:v>87849.826509185164</c:v>
                </c:pt>
                <c:pt idx="2">
                  <c:v>1083.847</c:v>
                </c:pt>
                <c:pt idx="3">
                  <c:v>89049.893877338953</c:v>
                </c:pt>
                <c:pt idx="4">
                  <c:v>83573.980828280255</c:v>
                </c:pt>
                <c:pt idx="5">
                  <c:v>273862.63150423567</c:v>
                </c:pt>
                <c:pt idx="6">
                  <c:v>2136.3146954436424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105478.22153898461</c:v>
                </c:pt>
                <c:pt idx="1">
                  <c:v>87849.826509185164</c:v>
                </c:pt>
                <c:pt idx="2">
                  <c:v>1083.847</c:v>
                </c:pt>
                <c:pt idx="3">
                  <c:v>89049.893877338953</c:v>
                </c:pt>
                <c:pt idx="4">
                  <c:v>83573.980828280255</c:v>
                </c:pt>
                <c:pt idx="5">
                  <c:v>273862.63150423567</c:v>
                </c:pt>
                <c:pt idx="6">
                  <c:v>2136.3146954436424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20495.938614798019</c:v>
                </c:pt>
                <c:pt idx="1">
                  <c:v>16304.947113767648</c:v>
                </c:pt>
                <c:pt idx="2">
                  <c:v>239.23698700352941</c:v>
                </c:pt>
                <c:pt idx="3">
                  <c:v>21297.260722731284</c:v>
                </c:pt>
                <c:pt idx="4">
                  <c:v>16870.295710664792</c:v>
                </c:pt>
                <c:pt idx="5">
                  <c:v>68605.675909346945</c:v>
                </c:pt>
                <c:pt idx="6">
                  <c:v>539.74111129051494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119872"/>
      </c:barChart>
      <c:catAx>
        <c:axId val="183036160"/>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20495.938614798019</c:v>
                </c:pt>
                <c:pt idx="1">
                  <c:v>16304.947113767648</c:v>
                </c:pt>
                <c:pt idx="2">
                  <c:v>239.23698700352941</c:v>
                </c:pt>
                <c:pt idx="3">
                  <c:v>21297.260722731284</c:v>
                </c:pt>
                <c:pt idx="4">
                  <c:v>16870.295710664792</c:v>
                </c:pt>
                <c:pt idx="5">
                  <c:v>68605.675909346945</c:v>
                </c:pt>
                <c:pt idx="6">
                  <c:v>539.74111129051494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6143</v>
      </c>
      <c r="C9" s="342">
        <v>6186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627.4</v>
      </c>
    </row>
    <row r="15" spans="1:6">
      <c r="A15" s="348" t="s">
        <v>184</v>
      </c>
      <c r="B15" s="334">
        <v>8</v>
      </c>
    </row>
    <row r="16" spans="1:6">
      <c r="A16" s="348" t="s">
        <v>6</v>
      </c>
      <c r="B16" s="334">
        <v>619</v>
      </c>
    </row>
    <row r="17" spans="1:6">
      <c r="A17" s="348" t="s">
        <v>7</v>
      </c>
      <c r="B17" s="334">
        <v>34</v>
      </c>
    </row>
    <row r="18" spans="1:6">
      <c r="A18" s="348" t="s">
        <v>8</v>
      </c>
      <c r="B18" s="334">
        <v>399</v>
      </c>
    </row>
    <row r="19" spans="1:6">
      <c r="A19" s="348" t="s">
        <v>9</v>
      </c>
      <c r="B19" s="334">
        <v>371</v>
      </c>
    </row>
    <row r="20" spans="1:6">
      <c r="A20" s="348" t="s">
        <v>10</v>
      </c>
      <c r="B20" s="334">
        <v>158</v>
      </c>
    </row>
    <row r="21" spans="1:6">
      <c r="A21" s="348" t="s">
        <v>11</v>
      </c>
      <c r="B21" s="334">
        <v>0</v>
      </c>
    </row>
    <row r="22" spans="1:6">
      <c r="A22" s="348" t="s">
        <v>12</v>
      </c>
      <c r="B22" s="334">
        <v>466</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9</v>
      </c>
    </row>
    <row r="28" spans="1:6" s="356" customFormat="1">
      <c r="A28" s="355" t="s">
        <v>18</v>
      </c>
      <c r="B28" s="355">
        <v>65801</v>
      </c>
    </row>
    <row r="29" spans="1:6">
      <c r="A29" s="355" t="s">
        <v>744</v>
      </c>
      <c r="B29" s="355">
        <v>23</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1955.0532964713</v>
      </c>
    </row>
    <row r="37" spans="1:6">
      <c r="A37" s="348" t="s">
        <v>25</v>
      </c>
      <c r="B37" s="348" t="s">
        <v>28</v>
      </c>
      <c r="C37" s="334">
        <v>0</v>
      </c>
      <c r="D37" s="334">
        <v>0</v>
      </c>
      <c r="E37" s="334">
        <v>0</v>
      </c>
      <c r="F37" s="334">
        <v>0</v>
      </c>
    </row>
    <row r="38" spans="1:6">
      <c r="A38" s="348" t="s">
        <v>25</v>
      </c>
      <c r="B38" s="348" t="s">
        <v>29</v>
      </c>
      <c r="C38" s="334">
        <v>1</v>
      </c>
      <c r="D38" s="334">
        <v>30648839.691399999</v>
      </c>
      <c r="E38" s="334">
        <v>1</v>
      </c>
      <c r="F38" s="334">
        <v>90491.630548050001</v>
      </c>
    </row>
    <row r="39" spans="1:6">
      <c r="A39" s="348" t="s">
        <v>30</v>
      </c>
      <c r="B39" s="348" t="s">
        <v>31</v>
      </c>
      <c r="C39" s="334">
        <v>4716</v>
      </c>
      <c r="D39" s="334">
        <v>79371932.601273298</v>
      </c>
      <c r="E39" s="334">
        <v>5951</v>
      </c>
      <c r="F39" s="334">
        <v>23783820.486621801</v>
      </c>
    </row>
    <row r="40" spans="1:6">
      <c r="A40" s="348" t="s">
        <v>30</v>
      </c>
      <c r="B40" s="348" t="s">
        <v>29</v>
      </c>
      <c r="C40" s="334">
        <v>1</v>
      </c>
      <c r="D40" s="334">
        <v>22949.1461921882</v>
      </c>
      <c r="E40" s="334">
        <v>1</v>
      </c>
      <c r="F40" s="334">
        <v>3329.0922276920001</v>
      </c>
    </row>
    <row r="41" spans="1:6">
      <c r="A41" s="348" t="s">
        <v>32</v>
      </c>
      <c r="B41" s="348" t="s">
        <v>33</v>
      </c>
      <c r="C41" s="334">
        <v>53</v>
      </c>
      <c r="D41" s="334">
        <v>1591852.56391916</v>
      </c>
      <c r="E41" s="334">
        <v>98</v>
      </c>
      <c r="F41" s="334">
        <v>1778707.2493201101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100806.24856792801</v>
      </c>
    </row>
    <row r="45" spans="1:6">
      <c r="A45" s="348" t="s">
        <v>32</v>
      </c>
      <c r="B45" s="348" t="s">
        <v>37</v>
      </c>
      <c r="C45" s="334">
        <v>0</v>
      </c>
      <c r="D45" s="334">
        <v>0</v>
      </c>
      <c r="E45" s="334">
        <v>8</v>
      </c>
      <c r="F45" s="334">
        <v>15249574.933408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58030333.871044397</v>
      </c>
      <c r="E48" s="334">
        <v>26</v>
      </c>
      <c r="F48" s="334">
        <v>271906.29705615499</v>
      </c>
    </row>
    <row r="49" spans="1:6">
      <c r="A49" s="348" t="s">
        <v>32</v>
      </c>
      <c r="B49" s="348" t="s">
        <v>40</v>
      </c>
      <c r="C49" s="334">
        <v>0</v>
      </c>
      <c r="D49" s="334">
        <v>0</v>
      </c>
      <c r="E49" s="334">
        <v>0</v>
      </c>
      <c r="F49" s="334">
        <v>0</v>
      </c>
    </row>
    <row r="50" spans="1:6">
      <c r="A50" s="348" t="s">
        <v>32</v>
      </c>
      <c r="B50" s="348" t="s">
        <v>41</v>
      </c>
      <c r="C50" s="334">
        <v>6</v>
      </c>
      <c r="D50" s="334">
        <v>471333.24773163302</v>
      </c>
      <c r="E50" s="334">
        <v>11</v>
      </c>
      <c r="F50" s="334">
        <v>211991.278828187</v>
      </c>
    </row>
    <row r="51" spans="1:6">
      <c r="A51" s="348" t="s">
        <v>42</v>
      </c>
      <c r="B51" s="348" t="s">
        <v>43</v>
      </c>
      <c r="C51" s="334">
        <v>9</v>
      </c>
      <c r="D51" s="334">
        <v>100541611.553747</v>
      </c>
      <c r="E51" s="334">
        <v>51</v>
      </c>
      <c r="F51" s="334">
        <v>937489.66917086998</v>
      </c>
    </row>
    <row r="52" spans="1:6">
      <c r="A52" s="348" t="s">
        <v>42</v>
      </c>
      <c r="B52" s="348" t="s">
        <v>29</v>
      </c>
      <c r="C52" s="334">
        <v>7</v>
      </c>
      <c r="D52" s="334">
        <v>29167648.635866102</v>
      </c>
      <c r="E52" s="334">
        <v>8</v>
      </c>
      <c r="F52" s="334">
        <v>239285.080864269</v>
      </c>
    </row>
    <row r="53" spans="1:6">
      <c r="A53" s="348" t="s">
        <v>44</v>
      </c>
      <c r="B53" s="348" t="s">
        <v>45</v>
      </c>
      <c r="C53" s="334">
        <v>119</v>
      </c>
      <c r="D53" s="334">
        <v>2470876.86690359</v>
      </c>
      <c r="E53" s="334">
        <v>215</v>
      </c>
      <c r="F53" s="334">
        <v>669671.89316709701</v>
      </c>
    </row>
    <row r="54" spans="1:6">
      <c r="A54" s="348" t="s">
        <v>46</v>
      </c>
      <c r="B54" s="348" t="s">
        <v>47</v>
      </c>
      <c r="C54" s="334">
        <v>0</v>
      </c>
      <c r="D54" s="334">
        <v>0</v>
      </c>
      <c r="E54" s="334">
        <v>1</v>
      </c>
      <c r="F54" s="334">
        <v>1083847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645970.55890168902</v>
      </c>
      <c r="E57" s="334">
        <v>55</v>
      </c>
      <c r="F57" s="334">
        <v>14993582.4591916</v>
      </c>
    </row>
    <row r="58" spans="1:6">
      <c r="A58" s="348" t="s">
        <v>49</v>
      </c>
      <c r="B58" s="348" t="s">
        <v>51</v>
      </c>
      <c r="C58" s="334">
        <v>23</v>
      </c>
      <c r="D58" s="334">
        <v>644798.67252400296</v>
      </c>
      <c r="E58" s="334">
        <v>39</v>
      </c>
      <c r="F58" s="334">
        <v>4460255.1880232599</v>
      </c>
    </row>
    <row r="59" spans="1:6">
      <c r="A59" s="348" t="s">
        <v>49</v>
      </c>
      <c r="B59" s="348" t="s">
        <v>52</v>
      </c>
      <c r="C59" s="334">
        <v>53</v>
      </c>
      <c r="D59" s="334">
        <v>8672336.11049724</v>
      </c>
      <c r="E59" s="334">
        <v>113</v>
      </c>
      <c r="F59" s="334">
        <v>7793305.2593365302</v>
      </c>
    </row>
    <row r="60" spans="1:6">
      <c r="A60" s="348" t="s">
        <v>49</v>
      </c>
      <c r="B60" s="348" t="s">
        <v>53</v>
      </c>
      <c r="C60" s="334">
        <v>49</v>
      </c>
      <c r="D60" s="334">
        <v>2259687.61497474</v>
      </c>
      <c r="E60" s="334">
        <v>65</v>
      </c>
      <c r="F60" s="334">
        <v>1519741.06392665</v>
      </c>
    </row>
    <row r="61" spans="1:6">
      <c r="A61" s="348" t="s">
        <v>49</v>
      </c>
      <c r="B61" s="348" t="s">
        <v>54</v>
      </c>
      <c r="C61" s="334">
        <v>169</v>
      </c>
      <c r="D61" s="334">
        <v>5896430.0272332896</v>
      </c>
      <c r="E61" s="334">
        <v>359</v>
      </c>
      <c r="F61" s="334">
        <v>4779946.1936684996</v>
      </c>
    </row>
    <row r="62" spans="1:6">
      <c r="A62" s="348" t="s">
        <v>49</v>
      </c>
      <c r="B62" s="348" t="s">
        <v>55</v>
      </c>
      <c r="C62" s="334">
        <v>8</v>
      </c>
      <c r="D62" s="334">
        <v>2100762.7174824099</v>
      </c>
      <c r="E62" s="334">
        <v>10</v>
      </c>
      <c r="F62" s="334">
        <v>113094.899788436</v>
      </c>
    </row>
    <row r="63" spans="1:6">
      <c r="A63" s="348" t="s">
        <v>49</v>
      </c>
      <c r="B63" s="348" t="s">
        <v>29</v>
      </c>
      <c r="C63" s="334">
        <v>96</v>
      </c>
      <c r="D63" s="334">
        <v>9860313.6731608994</v>
      </c>
      <c r="E63" s="334">
        <v>109</v>
      </c>
      <c r="F63" s="334">
        <v>5365310.2746312805</v>
      </c>
    </row>
    <row r="64" spans="1:6">
      <c r="A64" s="348" t="s">
        <v>56</v>
      </c>
      <c r="B64" s="348" t="s">
        <v>57</v>
      </c>
      <c r="C64" s="334">
        <v>0</v>
      </c>
      <c r="D64" s="334">
        <v>0</v>
      </c>
      <c r="E64" s="334">
        <v>0</v>
      </c>
      <c r="F64" s="334">
        <v>0</v>
      </c>
    </row>
    <row r="65" spans="1:6">
      <c r="A65" s="348" t="s">
        <v>56</v>
      </c>
      <c r="B65" s="348" t="s">
        <v>29</v>
      </c>
      <c r="C65" s="334">
        <v>0</v>
      </c>
      <c r="D65" s="334">
        <v>0</v>
      </c>
      <c r="E65" s="334">
        <v>3</v>
      </c>
      <c r="F65" s="334">
        <v>46281.243137020101</v>
      </c>
    </row>
    <row r="66" spans="1:6">
      <c r="A66" s="348" t="s">
        <v>56</v>
      </c>
      <c r="B66" s="348" t="s">
        <v>58</v>
      </c>
      <c r="C66" s="334">
        <v>0</v>
      </c>
      <c r="D66" s="334">
        <v>0</v>
      </c>
      <c r="E66" s="334">
        <v>11</v>
      </c>
      <c r="F66" s="334">
        <v>508983.08022287203</v>
      </c>
    </row>
    <row r="67" spans="1:6">
      <c r="A67" s="355" t="s">
        <v>56</v>
      </c>
      <c r="B67" s="355" t="s">
        <v>59</v>
      </c>
      <c r="C67" s="334">
        <v>0</v>
      </c>
      <c r="D67" s="334">
        <v>0</v>
      </c>
      <c r="E67" s="334">
        <v>0</v>
      </c>
      <c r="F67" s="334">
        <v>0</v>
      </c>
    </row>
    <row r="68" spans="1:6">
      <c r="A68" s="341" t="s">
        <v>56</v>
      </c>
      <c r="B68" s="341" t="s">
        <v>60</v>
      </c>
      <c r="C68" s="334">
        <v>3</v>
      </c>
      <c r="D68" s="334">
        <v>70814.0077431596</v>
      </c>
      <c r="E68" s="334">
        <v>10</v>
      </c>
      <c r="F68" s="334">
        <v>322121.39630956401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126224152</v>
      </c>
      <c r="E73" s="476">
        <v>132547701.27857608</v>
      </c>
    </row>
    <row r="74" spans="1:6">
      <c r="A74" s="348" t="s">
        <v>64</v>
      </c>
      <c r="B74" s="348" t="s">
        <v>657</v>
      </c>
      <c r="C74" s="1213" t="s">
        <v>659</v>
      </c>
      <c r="D74" s="476">
        <v>15516185.875445088</v>
      </c>
      <c r="E74" s="476">
        <v>13627021.635729669</v>
      </c>
    </row>
    <row r="75" spans="1:6">
      <c r="A75" s="348" t="s">
        <v>65</v>
      </c>
      <c r="B75" s="348" t="s">
        <v>656</v>
      </c>
      <c r="C75" s="1213" t="s">
        <v>660</v>
      </c>
      <c r="D75" s="476">
        <v>9008326</v>
      </c>
      <c r="E75" s="476">
        <v>9252612.3050932046</v>
      </c>
    </row>
    <row r="76" spans="1:6">
      <c r="A76" s="348" t="s">
        <v>65</v>
      </c>
      <c r="B76" s="348" t="s">
        <v>657</v>
      </c>
      <c r="C76" s="1213" t="s">
        <v>661</v>
      </c>
      <c r="D76" s="476">
        <v>15905</v>
      </c>
      <c r="E76" s="476">
        <v>13706.277801699227</v>
      </c>
    </row>
    <row r="77" spans="1:6">
      <c r="A77" s="348" t="s">
        <v>66</v>
      </c>
      <c r="B77" s="348" t="s">
        <v>656</v>
      </c>
      <c r="C77" s="1213" t="s">
        <v>662</v>
      </c>
      <c r="D77" s="476">
        <v>152227243</v>
      </c>
      <c r="E77" s="476">
        <v>162326962.87342253</v>
      </c>
    </row>
    <row r="78" spans="1:6">
      <c r="A78" s="341" t="s">
        <v>66</v>
      </c>
      <c r="B78" s="341" t="s">
        <v>657</v>
      </c>
      <c r="C78" s="341" t="s">
        <v>663</v>
      </c>
      <c r="D78" s="1214">
        <v>18129565</v>
      </c>
      <c r="E78" s="1214">
        <v>19069666.219598666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579404.24910982384</v>
      </c>
      <c r="C83" s="476">
        <v>581954.34480366751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2446.5301881999881</v>
      </c>
    </row>
    <row r="92" spans="1:6">
      <c r="A92" s="341" t="s">
        <v>69</v>
      </c>
      <c r="B92" s="342">
        <v>1994.5229775073569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85245.610469562016</v>
      </c>
      <c r="C3" s="43" t="s">
        <v>170</v>
      </c>
      <c r="D3" s="43"/>
      <c r="E3" s="154"/>
      <c r="F3" s="43"/>
      <c r="G3" s="43"/>
      <c r="H3" s="43"/>
      <c r="I3" s="43"/>
      <c r="J3" s="43"/>
      <c r="K3" s="96"/>
    </row>
    <row r="4" spans="1:11">
      <c r="A4" s="383" t="s">
        <v>171</v>
      </c>
      <c r="B4" s="49">
        <f>IF(ISERROR('SEAP template'!B69),0,'SEAP template'!B69)</f>
        <v>62377.015665707346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13762.26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0.22072948211650667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19660.371428571434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82765.660714285725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0.23754261439947602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1083.847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1083.847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0.22072948211650667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239.23698700352941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23787.149578849494</v>
      </c>
      <c r="C5" s="17">
        <f>IF(ISERROR('Eigen informatie GS &amp; warmtenet'!B57),0,'Eigen informatie GS &amp; warmtenet'!B57)</f>
        <v>0</v>
      </c>
      <c r="D5" s="30">
        <f>(SUM(HH_hh_gas_kWh,HH_rest_gas_kWh)/1000)*0.902</f>
        <v>71614.183336213871</v>
      </c>
      <c r="E5" s="17">
        <f>B46*B57</f>
        <v>1054.3041052498124</v>
      </c>
      <c r="F5" s="17">
        <f>B51*B62</f>
        <v>0</v>
      </c>
      <c r="G5" s="18"/>
      <c r="H5" s="17"/>
      <c r="I5" s="17"/>
      <c r="J5" s="17">
        <f>B50*B61+C50*C61</f>
        <v>0</v>
      </c>
      <c r="K5" s="17"/>
      <c r="L5" s="17"/>
      <c r="M5" s="17"/>
      <c r="N5" s="17">
        <f>B48*B59+C48*C59</f>
        <v>5688.9343304714257</v>
      </c>
      <c r="O5" s="17">
        <f>B69*B70*B71</f>
        <v>162.58666666666667</v>
      </c>
      <c r="P5" s="17">
        <f>B77*B78*B79/1000-B77*B78*B79/1000/B80</f>
        <v>724.5333333333333</v>
      </c>
    </row>
    <row r="6" spans="1:16">
      <c r="A6" s="16" t="s">
        <v>621</v>
      </c>
      <c r="B6" s="843">
        <f>kWh_PV_kleiner_dan_10kW</f>
        <v>2446.5301881999881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26233.679767049482</v>
      </c>
      <c r="C8" s="21">
        <f>C5</f>
        <v>0</v>
      </c>
      <c r="D8" s="21">
        <f>D5</f>
        <v>71614.183336213871</v>
      </c>
      <c r="E8" s="21">
        <f>E5</f>
        <v>1054.3041052498124</v>
      </c>
      <c r="F8" s="21">
        <f>F5</f>
        <v>0</v>
      </c>
      <c r="G8" s="21"/>
      <c r="H8" s="21"/>
      <c r="I8" s="21"/>
      <c r="J8" s="21">
        <f>J5</f>
        <v>0</v>
      </c>
      <c r="K8" s="21"/>
      <c r="L8" s="21">
        <f>L5</f>
        <v>0</v>
      </c>
      <c r="M8" s="21">
        <f>M5</f>
        <v>0</v>
      </c>
      <c r="N8" s="21">
        <f>N5</f>
        <v>5688.9343304714257</v>
      </c>
      <c r="O8" s="21">
        <f>O5</f>
        <v>162.58666666666667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0.22072948211650667</v>
      </c>
      <c r="C10" s="25">
        <f ca="1">'EF ele_warmte'!B22</f>
        <v>0.23754261439947602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5790.5465489911112</v>
      </c>
      <c r="C12" s="23">
        <f ca="1">C10*C8</f>
        <v>0</v>
      </c>
      <c r="D12" s="23">
        <f>D8*D10</f>
        <v>14466.065033915203</v>
      </c>
      <c r="E12" s="23">
        <f>E10*E8</f>
        <v>239.32703189170743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6143</v>
      </c>
      <c r="C28" s="36"/>
      <c r="D28" s="228"/>
    </row>
    <row r="29" spans="1:7" s="15" customFormat="1">
      <c r="A29" s="230" t="s">
        <v>795</v>
      </c>
      <c r="B29" s="37">
        <f>SUM(HH_hh_gas_aantal,HH_rest_gas_aantal)</f>
        <v>4717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4717</v>
      </c>
      <c r="C32" s="167">
        <f>IF(ISERROR(B32/SUM($B$32,$B$34,$B$35,$B$36,$B$38,$B$39)*100),0,B32/SUM($B$32,$B$34,$B$35,$B$36,$B$38,$B$39)*100)</f>
        <v>77.264537264537282</v>
      </c>
      <c r="D32" s="233"/>
      <c r="G32" s="15"/>
    </row>
    <row r="33" spans="1:7">
      <c r="A33" s="171" t="s">
        <v>72</v>
      </c>
      <c r="B33" s="34" t="s">
        <v>111</v>
      </c>
      <c r="C33" s="167"/>
      <c r="D33" s="233"/>
      <c r="G33" s="15"/>
    </row>
    <row r="34" spans="1:7">
      <c r="A34" s="171" t="s">
        <v>73</v>
      </c>
      <c r="B34" s="33">
        <f>IF((($B$28-$B$32-$B$39-$B$77-$B$38)*C20/100)&lt;0,0,($B$28-$B$32-$B$39-$B$77-$B$38)*C20/100)</f>
        <v>49.793721973094172</v>
      </c>
      <c r="C34" s="167">
        <f>IF(ISERROR(B34/SUM($B$32,$B$34,$B$35,$B$36,$B$38,$B$39)*100),0,B34/SUM($B$32,$B$34,$B$35,$B$36,$B$38,$B$39)*100)</f>
        <v>0.81562198154126409</v>
      </c>
      <c r="D34" s="233"/>
      <c r="G34" s="15"/>
    </row>
    <row r="35" spans="1:7">
      <c r="A35" s="171" t="s">
        <v>74</v>
      </c>
      <c r="B35" s="33">
        <f>IF((($B$28-$B$32-$B$39-$B$77-$B$38)*C21/100)&lt;0,0,($B$28-$B$32-$B$39-$B$77-$B$38)*C21/100)</f>
        <v>1259.3662182361734</v>
      </c>
      <c r="C35" s="167">
        <f>IF(ISERROR(B35/SUM($B$32,$B$34,$B$35,$B$36,$B$38,$B$39)*100),0,B35/SUM($B$32,$B$34,$B$35,$B$36,$B$38,$B$39)*100)</f>
        <v>20.628439283147806</v>
      </c>
      <c r="D35" s="233"/>
      <c r="G35" s="15"/>
    </row>
    <row r="36" spans="1:7">
      <c r="A36" s="171" t="s">
        <v>75</v>
      </c>
      <c r="B36" s="33">
        <f>IF((($B$28-$B$32-$B$39-$B$77-$B$38)*C22/100)&lt;0,0,($B$28-$B$32-$B$39-$B$77-$B$38)*C22/100)</f>
        <v>78.84005979073244</v>
      </c>
      <c r="C36" s="167">
        <f>IF(ISERROR(B36/SUM($B$32,$B$34,$B$35,$B$36,$B$38,$B$39)*100),0,B36/SUM($B$32,$B$34,$B$35,$B$36,$B$38,$B$39)*100)</f>
        <v>1.2914014707736683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4717</v>
      </c>
      <c r="C44" s="34" t="s">
        <v>111</v>
      </c>
      <c r="D44" s="174"/>
    </row>
    <row r="45" spans="1:7">
      <c r="A45" s="171" t="s">
        <v>72</v>
      </c>
      <c r="B45" s="33" t="str">
        <f t="shared" si="0"/>
        <v>-</v>
      </c>
      <c r="C45" s="34" t="s">
        <v>111</v>
      </c>
      <c r="D45" s="174"/>
    </row>
    <row r="46" spans="1:7">
      <c r="A46" s="171" t="s">
        <v>73</v>
      </c>
      <c r="B46" s="33">
        <f t="shared" si="0"/>
        <v>49.793721973094172</v>
      </c>
      <c r="C46" s="34" t="s">
        <v>111</v>
      </c>
      <c r="D46" s="174"/>
    </row>
    <row r="47" spans="1:7">
      <c r="A47" s="171" t="s">
        <v>74</v>
      </c>
      <c r="B47" s="33">
        <f t="shared" si="0"/>
        <v>1259.3662182361734</v>
      </c>
      <c r="C47" s="34" t="s">
        <v>111</v>
      </c>
      <c r="D47" s="174"/>
    </row>
    <row r="48" spans="1:7">
      <c r="A48" s="171" t="s">
        <v>75</v>
      </c>
      <c r="B48" s="33">
        <f t="shared" si="0"/>
        <v>78.84005979073244</v>
      </c>
      <c r="C48" s="33">
        <f>B48*10</f>
        <v>788.40059790732437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39025.23533856625</v>
      </c>
      <c r="C5" s="17">
        <f>IF(ISERROR('Eigen informatie GS &amp; warmtenet'!B58),0,'Eigen informatie GS &amp; warmtenet'!B58)</f>
        <v>0</v>
      </c>
      <c r="D5" s="30">
        <f>SUM(D6:D12)</f>
        <v>27132.430036046393</v>
      </c>
      <c r="E5" s="17">
        <f>SUM(E6:E12)</f>
        <v>390.93843750438054</v>
      </c>
      <c r="F5" s="17">
        <f>SUM(F6:F12)</f>
        <v>7944.9941055881754</v>
      </c>
      <c r="G5" s="18"/>
      <c r="H5" s="17"/>
      <c r="I5" s="17"/>
      <c r="J5" s="17">
        <f>SUM(J6:J12)</f>
        <v>0.33844413620042307</v>
      </c>
      <c r="K5" s="17"/>
      <c r="L5" s="17"/>
      <c r="M5" s="17"/>
      <c r="N5" s="17">
        <f>SUM(N6:N12)</f>
        <v>13336.823480677105</v>
      </c>
      <c r="O5" s="17">
        <f>B38*B39*B40</f>
        <v>0</v>
      </c>
      <c r="P5" s="17">
        <f>B46*B47*B48/1000-B46*B47*B48/1000/B49</f>
        <v>19.066666666666666</v>
      </c>
      <c r="R5" s="32"/>
    </row>
    <row r="6" spans="1:18">
      <c r="A6" s="32" t="s">
        <v>54</v>
      </c>
      <c r="B6" s="37">
        <f>B26</f>
        <v>4779.9461936684993</v>
      </c>
      <c r="C6" s="33"/>
      <c r="D6" s="37">
        <f>IF(ISERROR(TER_kantoor_gas_kWh/1000),0,TER_kantoor_gas_kWh/1000)*0.902</f>
        <v>5318.5798845644267</v>
      </c>
      <c r="E6" s="33">
        <f>$C$26*'E Balans VL '!I12/100/3.6*1000000</f>
        <v>2.9959112956716362E-2</v>
      </c>
      <c r="F6" s="33">
        <f>$C$26*('E Balans VL '!L12+'E Balans VL '!N12)/100/3.6*1000000</f>
        <v>718.29234847318151</v>
      </c>
      <c r="G6" s="34"/>
      <c r="H6" s="33"/>
      <c r="I6" s="33"/>
      <c r="J6" s="33">
        <f>$C$26*('E Balans VL '!D12+'E Balans VL '!E12)/100/3.6*1000000</f>
        <v>0</v>
      </c>
      <c r="K6" s="33"/>
      <c r="L6" s="33"/>
      <c r="M6" s="33"/>
      <c r="N6" s="33">
        <f>$C$26*'E Balans VL '!Y12/100/3.6*1000000</f>
        <v>4.5713098294444903</v>
      </c>
      <c r="O6" s="33"/>
      <c r="P6" s="33"/>
      <c r="R6" s="32"/>
    </row>
    <row r="7" spans="1:18">
      <c r="A7" s="32" t="s">
        <v>53</v>
      </c>
      <c r="B7" s="37">
        <f t="shared" ref="B7:B12" si="0">B27</f>
        <v>1519.74106392665</v>
      </c>
      <c r="C7" s="33"/>
      <c r="D7" s="37">
        <f>IF(ISERROR(TER_horeca_gas_kWh/1000),0,TER_horeca_gas_kWh/1000)*0.902</f>
        <v>2038.2382287072155</v>
      </c>
      <c r="E7" s="33">
        <f>$C$27*'E Balans VL '!I9/100/3.6*1000000</f>
        <v>21.762438894892426</v>
      </c>
      <c r="F7" s="33">
        <f>$C$27*('E Balans VL '!L9+'E Balans VL '!N9)/100/3.6*1000000</f>
        <v>192.44934168443376</v>
      </c>
      <c r="G7" s="34"/>
      <c r="H7" s="33"/>
      <c r="I7" s="33"/>
      <c r="J7" s="33">
        <f>$C$27*('E Balans VL '!D9+'E Balans VL '!E9)/100/3.6*1000000</f>
        <v>0</v>
      </c>
      <c r="K7" s="33"/>
      <c r="L7" s="33"/>
      <c r="M7" s="33"/>
      <c r="N7" s="33">
        <f>$C$27*'E Balans VL '!Y9/100/3.6*1000000</f>
        <v>0.43689204846471758</v>
      </c>
      <c r="O7" s="33"/>
      <c r="P7" s="33"/>
      <c r="R7" s="32"/>
    </row>
    <row r="8" spans="1:18">
      <c r="A8" s="6" t="s">
        <v>52</v>
      </c>
      <c r="B8" s="37">
        <f t="shared" si="0"/>
        <v>7793.3052593365301</v>
      </c>
      <c r="C8" s="33"/>
      <c r="D8" s="37">
        <f>IF(ISERROR(TER_handel_gas_kWh/1000),0,TER_handel_gas_kWh/1000)*0.902</f>
        <v>7822.4471716685102</v>
      </c>
      <c r="E8" s="33">
        <f>$C$28*'E Balans VL '!I13/100/3.6*1000000</f>
        <v>282.66222072878685</v>
      </c>
      <c r="F8" s="33">
        <f>$C$28*('E Balans VL '!L13+'E Balans VL '!N13)/100/3.6*1000000</f>
        <v>1501.0695051810494</v>
      </c>
      <c r="G8" s="34"/>
      <c r="H8" s="33"/>
      <c r="I8" s="33"/>
      <c r="J8" s="33">
        <f>$C$28*('E Balans VL '!D13+'E Balans VL '!E13)/100/3.6*1000000</f>
        <v>0</v>
      </c>
      <c r="K8" s="33"/>
      <c r="L8" s="33"/>
      <c r="M8" s="33"/>
      <c r="N8" s="33">
        <f>$C$28*'E Balans VL '!Y13/100/3.6*1000000</f>
        <v>10.795520943748745</v>
      </c>
      <c r="O8" s="33"/>
      <c r="P8" s="33"/>
      <c r="R8" s="32"/>
    </row>
    <row r="9" spans="1:18">
      <c r="A9" s="32" t="s">
        <v>51</v>
      </c>
      <c r="B9" s="37">
        <f t="shared" si="0"/>
        <v>4460.2551880232595</v>
      </c>
      <c r="C9" s="33"/>
      <c r="D9" s="37">
        <f>IF(ISERROR(TER_gezond_gas_kWh/1000),0,TER_gezond_gas_kWh/1000)*0.902</f>
        <v>581.60840261665066</v>
      </c>
      <c r="E9" s="33">
        <f>$C$29*'E Balans VL '!I10/100/3.6*1000000</f>
        <v>0.27925601183448218</v>
      </c>
      <c r="F9" s="33">
        <f>$C$29*('E Balans VL '!L10+'E Balans VL '!N10)/100/3.6*1000000</f>
        <v>662.58448836459456</v>
      </c>
      <c r="G9" s="34"/>
      <c r="H9" s="33"/>
      <c r="I9" s="33"/>
      <c r="J9" s="33">
        <f>$C$29*('E Balans VL '!D10+'E Balans VL '!E10)/100/3.6*1000000</f>
        <v>0</v>
      </c>
      <c r="K9" s="33"/>
      <c r="L9" s="33"/>
      <c r="M9" s="33"/>
      <c r="N9" s="33">
        <f>$C$29*'E Balans VL '!Y10/100/3.6*1000000</f>
        <v>68.991657626180654</v>
      </c>
      <c r="O9" s="33"/>
      <c r="P9" s="33"/>
      <c r="R9" s="32"/>
    </row>
    <row r="10" spans="1:18">
      <c r="A10" s="32" t="s">
        <v>50</v>
      </c>
      <c r="B10" s="37">
        <f t="shared" si="0"/>
        <v>14993.582459191601</v>
      </c>
      <c r="C10" s="33"/>
      <c r="D10" s="37">
        <f>IF(ISERROR(TER_ander_gas_kWh/1000),0,TER_ander_gas_kWh/1000)*0.902</f>
        <v>582.66544412932353</v>
      </c>
      <c r="E10" s="33">
        <f>$C$30*'E Balans VL '!I14/100/3.6*1000000</f>
        <v>17.871814511250225</v>
      </c>
      <c r="F10" s="33">
        <f>$C$30*('E Balans VL '!L14+'E Balans VL '!N14)/100/3.6*1000000</f>
        <v>3922.987733646758</v>
      </c>
      <c r="G10" s="34"/>
      <c r="H10" s="33"/>
      <c r="I10" s="33"/>
      <c r="J10" s="33">
        <f>$C$30*('E Balans VL '!D14+'E Balans VL '!E14)/100/3.6*1000000</f>
        <v>0.32545190196865337</v>
      </c>
      <c r="K10" s="33"/>
      <c r="L10" s="33"/>
      <c r="M10" s="33"/>
      <c r="N10" s="33">
        <f>$C$30*'E Balans VL '!Y14/100/3.6*1000000</f>
        <v>12732.183336547045</v>
      </c>
      <c r="O10" s="33"/>
      <c r="P10" s="33"/>
      <c r="R10" s="32"/>
    </row>
    <row r="11" spans="1:18">
      <c r="A11" s="32" t="s">
        <v>55</v>
      </c>
      <c r="B11" s="37">
        <f t="shared" si="0"/>
        <v>113.094899788436</v>
      </c>
      <c r="C11" s="33"/>
      <c r="D11" s="37">
        <f>IF(ISERROR(TER_onderwijs_gas_kWh/1000),0,TER_onderwijs_gas_kWh/1000)*0.902</f>
        <v>1894.8879711691336</v>
      </c>
      <c r="E11" s="33">
        <f>$C$31*'E Balans VL '!I11/100/3.6*1000000</f>
        <v>1.7064198811501687</v>
      </c>
      <c r="F11" s="33">
        <f>$C$31*('E Balans VL '!L11+'E Balans VL '!N11)/100/3.6*1000000</f>
        <v>19.816033187708154</v>
      </c>
      <c r="G11" s="34"/>
      <c r="H11" s="33"/>
      <c r="I11" s="33"/>
      <c r="J11" s="33">
        <f>$C$31*('E Balans VL '!D11+'E Balans VL '!E11)/100/3.6*1000000</f>
        <v>0</v>
      </c>
      <c r="K11" s="33"/>
      <c r="L11" s="33"/>
      <c r="M11" s="33"/>
      <c r="N11" s="33">
        <f>$C$31*'E Balans VL '!Y11/100/3.6*1000000</f>
        <v>0.31825764580636118</v>
      </c>
      <c r="O11" s="33"/>
      <c r="P11" s="33"/>
      <c r="R11" s="32"/>
    </row>
    <row r="12" spans="1:18">
      <c r="A12" s="32" t="s">
        <v>260</v>
      </c>
      <c r="B12" s="37">
        <f t="shared" si="0"/>
        <v>5365.3102746312807</v>
      </c>
      <c r="C12" s="33"/>
      <c r="D12" s="37">
        <f>IF(ISERROR(TER_rest_gas_kWh/1000),0,TER_rest_gas_kWh/1000)*0.902</f>
        <v>8894.0029331911319</v>
      </c>
      <c r="E12" s="33">
        <f>$C$32*'E Balans VL '!I8/100/3.6*1000000</f>
        <v>66.6263283635096</v>
      </c>
      <c r="F12" s="33">
        <f>$C$32*('E Balans VL '!L8+'E Balans VL '!N8)/100/3.6*1000000</f>
        <v>927.79465505044993</v>
      </c>
      <c r="G12" s="34"/>
      <c r="H12" s="33"/>
      <c r="I12" s="33"/>
      <c r="J12" s="33">
        <f>$C$32*('E Balans VL '!D8+'E Balans VL '!E8)/100/3.6*1000000</f>
        <v>1.2992234231769682E-2</v>
      </c>
      <c r="K12" s="33"/>
      <c r="L12" s="33"/>
      <c r="M12" s="33"/>
      <c r="N12" s="33">
        <f>$C$32*'E Balans VL '!Y8/100/3.6*1000000</f>
        <v>519.526506036417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39025.23533856625</v>
      </c>
      <c r="C16" s="21">
        <f t="shared" ca="1" si="1"/>
        <v>0</v>
      </c>
      <c r="D16" s="21">
        <f t="shared" ca="1" si="1"/>
        <v>27132.430036046393</v>
      </c>
      <c r="E16" s="21">
        <f t="shared" si="1"/>
        <v>390.93843750438054</v>
      </c>
      <c r="F16" s="21">
        <f t="shared" ca="1" si="1"/>
        <v>7944.9941055881754</v>
      </c>
      <c r="G16" s="21">
        <f t="shared" si="1"/>
        <v>0</v>
      </c>
      <c r="H16" s="21">
        <f t="shared" si="1"/>
        <v>0</v>
      </c>
      <c r="I16" s="21">
        <f t="shared" si="1"/>
        <v>0</v>
      </c>
      <c r="J16" s="21">
        <f t="shared" si="1"/>
        <v>0.33844413620042307</v>
      </c>
      <c r="K16" s="21">
        <f t="shared" si="1"/>
        <v>0</v>
      </c>
      <c r="L16" s="21">
        <f t="shared" ca="1" si="1"/>
        <v>0</v>
      </c>
      <c r="M16" s="21">
        <f t="shared" si="1"/>
        <v>0</v>
      </c>
      <c r="N16" s="21">
        <f t="shared" ca="1" si="1"/>
        <v>13336.823480677105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0.22072948211650667</v>
      </c>
      <c r="C18" s="25">
        <f ca="1">'EF ele_warmte'!B22</f>
        <v>0.23754261439947602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8614.019985756524</v>
      </c>
      <c r="C20" s="23">
        <f t="shared" ref="C20:P20" ca="1" si="2">C16*C18</f>
        <v>0</v>
      </c>
      <c r="D20" s="23">
        <f t="shared" ca="1" si="2"/>
        <v>5480.7508672813719</v>
      </c>
      <c r="E20" s="23">
        <f t="shared" si="2"/>
        <v>88.743025313494385</v>
      </c>
      <c r="F20" s="23">
        <f t="shared" ca="1" si="2"/>
        <v>2121.3134261920432</v>
      </c>
      <c r="G20" s="23">
        <f t="shared" si="2"/>
        <v>0</v>
      </c>
      <c r="H20" s="23">
        <f t="shared" si="2"/>
        <v>0</v>
      </c>
      <c r="I20" s="23">
        <f t="shared" si="2"/>
        <v>0</v>
      </c>
      <c r="J20" s="23">
        <f t="shared" si="2"/>
        <v>0.11980922421494976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4779.9461936684993</v>
      </c>
      <c r="C26" s="39">
        <f>IF(ISERROR(B26*3.6/1000000/'E Balans VL '!Z12*100),0,B26*3.6/1000000/'E Balans VL '!Z12*100)</f>
        <v>0.10104049048774871</v>
      </c>
      <c r="D26" s="237" t="s">
        <v>754</v>
      </c>
      <c r="F26" s="6"/>
    </row>
    <row r="27" spans="1:18">
      <c r="A27" s="231" t="s">
        <v>53</v>
      </c>
      <c r="B27" s="33">
        <f>IF(ISERROR(TER_horeca_ele_kWh/1000),0,TER_horeca_ele_kWh/1000)</f>
        <v>1519.74106392665</v>
      </c>
      <c r="C27" s="39">
        <f>IF(ISERROR(B27*3.6/1000000/'E Balans VL '!Z9*100),0,B27*3.6/1000000/'E Balans VL '!Z9*100)</f>
        <v>0.11980062163292568</v>
      </c>
      <c r="D27" s="237" t="s">
        <v>754</v>
      </c>
      <c r="F27" s="6"/>
    </row>
    <row r="28" spans="1:18">
      <c r="A28" s="171" t="s">
        <v>52</v>
      </c>
      <c r="B28" s="33">
        <f>IF(ISERROR(TER_handel_ele_kWh/1000),0,TER_handel_ele_kWh/1000)</f>
        <v>7793.3052593365301</v>
      </c>
      <c r="C28" s="39">
        <f>IF(ISERROR(B28*3.6/1000000/'E Balans VL '!Z13*100),0,B28*3.6/1000000/'E Balans VL '!Z13*100)</f>
        <v>0.22619320710767038</v>
      </c>
      <c r="D28" s="237" t="s">
        <v>754</v>
      </c>
      <c r="F28" s="6"/>
    </row>
    <row r="29" spans="1:18">
      <c r="A29" s="231" t="s">
        <v>51</v>
      </c>
      <c r="B29" s="33">
        <f>IF(ISERROR(TER_gezond_ele_kWh/1000),0,TER_gezond_ele_kWh/1000)</f>
        <v>4460.2551880232595</v>
      </c>
      <c r="C29" s="39">
        <f>IF(ISERROR(B29*3.6/1000000/'E Balans VL '!Z10*100),0,B29*3.6/1000000/'E Balans VL '!Z10*100)</f>
        <v>0.46973811062227167</v>
      </c>
      <c r="D29" s="237" t="s">
        <v>754</v>
      </c>
      <c r="F29" s="6"/>
    </row>
    <row r="30" spans="1:18">
      <c r="A30" s="231" t="s">
        <v>50</v>
      </c>
      <c r="B30" s="33">
        <f>IF(ISERROR(TER_ander_ele_kWh/1000),0,TER_ander_ele_kWh/1000)</f>
        <v>14993.582459191601</v>
      </c>
      <c r="C30" s="39">
        <f>IF(ISERROR(B30*3.6/1000000/'E Balans VL '!Z14*100),0,B30*3.6/1000000/'E Balans VL '!Z14*100)</f>
        <v>1.1059298987798831</v>
      </c>
      <c r="D30" s="237" t="s">
        <v>754</v>
      </c>
      <c r="F30" s="6"/>
    </row>
    <row r="31" spans="1:18">
      <c r="A31" s="231" t="s">
        <v>55</v>
      </c>
      <c r="B31" s="33">
        <f>IF(ISERROR(TER_onderwijs_ele_kWh/1000),0,TER_onderwijs_ele_kWh/1000)</f>
        <v>113.094899788436</v>
      </c>
      <c r="C31" s="39">
        <f>IF(ISERROR(B31*3.6/1000000/'E Balans VL '!Z11*100),0,B31*3.6/1000000/'E Balans VL '!Z11*100)</f>
        <v>2.808676129456586E-2</v>
      </c>
      <c r="D31" s="237" t="s">
        <v>754</v>
      </c>
    </row>
    <row r="32" spans="1:18">
      <c r="A32" s="231" t="s">
        <v>260</v>
      </c>
      <c r="B32" s="33">
        <f>IF(ISERROR(TER_rest_ele_kWh/1000),0,TER_rest_ele_kWh/1000)</f>
        <v>5365.3102746312807</v>
      </c>
      <c r="C32" s="39">
        <f>IF(ISERROR(B32*3.6/1000000/'E Balans VL '!Z8*100),0,B32*3.6/1000000/'E Balans VL '!Z8*100)</f>
        <v>4.4149381834768048E-2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17612.986007180378</v>
      </c>
      <c r="C5" s="17">
        <f>IF(ISERROR('Eigen informatie GS &amp; warmtenet'!B59),0,'Eigen informatie GS &amp; warmtenet'!B59)</f>
        <v>0</v>
      </c>
      <c r="D5" s="30">
        <f>SUM(D6:D15)</f>
        <v>54204.354753791071</v>
      </c>
      <c r="E5" s="17">
        <f>SUM(E6:E15)</f>
        <v>978.36199007472669</v>
      </c>
      <c r="F5" s="17">
        <f>SUM(F6:F15)</f>
        <v>6749.089487878311</v>
      </c>
      <c r="G5" s="18"/>
      <c r="H5" s="17"/>
      <c r="I5" s="17"/>
      <c r="J5" s="17">
        <f>SUM(J6:J15)</f>
        <v>26.03306637944134</v>
      </c>
      <c r="K5" s="17"/>
      <c r="L5" s="17"/>
      <c r="M5" s="17"/>
      <c r="N5" s="17">
        <f>SUM(N6:N15)</f>
        <v>4003.1555229763112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100.80624856792801</v>
      </c>
      <c r="C8" s="33"/>
      <c r="D8" s="37">
        <f>IF( ISERROR(IND_metaal_Gas_kWH/1000),0,IND_metaal_Gas_kWH/1000)*0.902</f>
        <v>0</v>
      </c>
      <c r="E8" s="33">
        <f>C30*'E Balans VL '!I18/100/3.6*1000000</f>
        <v>0.92681609598133852</v>
      </c>
      <c r="F8" s="33">
        <f>C30*'E Balans VL '!L18/100/3.6*1000000+C30*'E Balans VL '!N18/100/3.6*1000000</f>
        <v>9.4522699359289213</v>
      </c>
      <c r="G8" s="34"/>
      <c r="H8" s="33"/>
      <c r="I8" s="33"/>
      <c r="J8" s="40">
        <f>C30*'E Balans VL '!D18/100/3.6*1000000+C30*'E Balans VL '!E18/100/3.6*1000000</f>
        <v>0</v>
      </c>
      <c r="K8" s="33"/>
      <c r="L8" s="33"/>
      <c r="M8" s="33"/>
      <c r="N8" s="33">
        <f>C30*'E Balans VL '!Y18/100/3.6*1000000</f>
        <v>1.4381677251625034</v>
      </c>
      <c r="O8" s="33"/>
      <c r="P8" s="33"/>
      <c r="R8" s="32"/>
    </row>
    <row r="9" spans="1:18">
      <c r="A9" s="6" t="s">
        <v>33</v>
      </c>
      <c r="B9" s="37">
        <f t="shared" si="0"/>
        <v>1778.7072493201101</v>
      </c>
      <c r="C9" s="33"/>
      <c r="D9" s="37">
        <f>IF( ISERROR(IND_andere_gas_kWh/1000),0,IND_andere_gas_kWh/1000)*0.902</f>
        <v>1435.8510126550825</v>
      </c>
      <c r="E9" s="33">
        <f>C31*'E Balans VL '!I19/100/3.6*1000000</f>
        <v>519.95075632214059</v>
      </c>
      <c r="F9" s="33">
        <f>C31*'E Balans VL '!L19/100/3.6*1000000+C31*'E Balans VL '!N19/100/3.6*1000000</f>
        <v>1429.3259105963505</v>
      </c>
      <c r="G9" s="34"/>
      <c r="H9" s="33"/>
      <c r="I9" s="33"/>
      <c r="J9" s="40">
        <f>C31*'E Balans VL '!D19/100/3.6*1000000+C31*'E Balans VL '!E19/100/3.6*1000000</f>
        <v>0</v>
      </c>
      <c r="K9" s="33"/>
      <c r="L9" s="33"/>
      <c r="M9" s="33"/>
      <c r="N9" s="33">
        <f>C31*'E Balans VL '!Y19/100/3.6*1000000</f>
        <v>587.71246096896687</v>
      </c>
      <c r="O9" s="33"/>
      <c r="P9" s="33"/>
      <c r="R9" s="32"/>
    </row>
    <row r="10" spans="1:18">
      <c r="A10" s="6" t="s">
        <v>41</v>
      </c>
      <c r="B10" s="37">
        <f t="shared" si="0"/>
        <v>211.99127882818701</v>
      </c>
      <c r="C10" s="33"/>
      <c r="D10" s="37">
        <f>IF( ISERROR(IND_voed_gas_kWh/1000),0,IND_voed_gas_kWh/1000)*0.902</f>
        <v>425.142589453933</v>
      </c>
      <c r="E10" s="33">
        <f>C32*'E Balans VL '!I20/100/3.6*1000000</f>
        <v>0.44847083732473819</v>
      </c>
      <c r="F10" s="33">
        <f>C32*'E Balans VL '!L20/100/3.6*1000000+C32*'E Balans VL '!N20/100/3.6*1000000</f>
        <v>13.478622050637432</v>
      </c>
      <c r="G10" s="34"/>
      <c r="H10" s="33"/>
      <c r="I10" s="33"/>
      <c r="J10" s="40">
        <f>C32*'E Balans VL '!D20/100/3.6*1000000+C32*'E Balans VL '!E20/100/3.6*1000000</f>
        <v>0</v>
      </c>
      <c r="K10" s="33"/>
      <c r="L10" s="33"/>
      <c r="M10" s="33"/>
      <c r="N10" s="33">
        <f>C32*'E Balans VL '!Y20/100/3.6*1000000</f>
        <v>14.629490220201063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15249.574933407999</v>
      </c>
      <c r="C12" s="33"/>
      <c r="D12" s="37">
        <f>IF( ISERROR(IND_min_gas_kWh/1000),0,IND_min_gas_kWh/1000)*0.902</f>
        <v>0</v>
      </c>
      <c r="E12" s="33">
        <f>C34*'E Balans VL '!I22/100/3.6*1000000</f>
        <v>442.02238469178116</v>
      </c>
      <c r="F12" s="33">
        <f>C34*'E Balans VL '!L22/100/3.6*1000000+C34*'E Balans VL '!N22/100/3.6*1000000</f>
        <v>5242.9761861430197</v>
      </c>
      <c r="G12" s="34"/>
      <c r="H12" s="33"/>
      <c r="I12" s="33"/>
      <c r="J12" s="40">
        <f>C34*'E Balans VL '!D22/100/3.6*1000000+C34*'E Balans VL '!E22/100/3.6*1000000</f>
        <v>25.059647006449236</v>
      </c>
      <c r="K12" s="33"/>
      <c r="L12" s="33"/>
      <c r="M12" s="33"/>
      <c r="N12" s="33">
        <f>C34*'E Balans VL '!Y22/100/3.6*1000000</f>
        <v>3338.3825536298573</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271.90629705615498</v>
      </c>
      <c r="C15" s="33"/>
      <c r="D15" s="37">
        <f>IF( ISERROR(IND_rest_gas_kWh/1000),0,IND_rest_gas_kWh/1000)*0.902</f>
        <v>52343.361151682053</v>
      </c>
      <c r="E15" s="33">
        <f>C37*'E Balans VL '!I15/100/3.6*1000000</f>
        <v>15.013562127498771</v>
      </c>
      <c r="F15" s="33">
        <f>C37*'E Balans VL '!L15/100/3.6*1000000+C37*'E Balans VL '!N15/100/3.6*1000000</f>
        <v>53.856499152374262</v>
      </c>
      <c r="G15" s="34"/>
      <c r="H15" s="33"/>
      <c r="I15" s="33"/>
      <c r="J15" s="40">
        <f>C37*'E Balans VL '!D15/100/3.6*1000000+C37*'E Balans VL '!E15/100/3.6*1000000</f>
        <v>0.97341937299210302</v>
      </c>
      <c r="K15" s="33"/>
      <c r="L15" s="33"/>
      <c r="M15" s="33"/>
      <c r="N15" s="33">
        <f>C37*'E Balans VL '!Y15/100/3.6*1000000</f>
        <v>60.992850432123404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17612.986007180378</v>
      </c>
      <c r="C18" s="21">
        <f>C5+C16</f>
        <v>0</v>
      </c>
      <c r="D18" s="21">
        <f>MAX((D5+D16),0)</f>
        <v>54204.354753791071</v>
      </c>
      <c r="E18" s="21">
        <f>MAX((E5+E16),0)</f>
        <v>978.36199007472669</v>
      </c>
      <c r="F18" s="21">
        <f>MAX((F5+F16),0)</f>
        <v>6749.089487878311</v>
      </c>
      <c r="G18" s="21"/>
      <c r="H18" s="21"/>
      <c r="I18" s="21"/>
      <c r="J18" s="21">
        <f>MAX((J5+J16),0)</f>
        <v>26.03306637944134</v>
      </c>
      <c r="K18" s="21"/>
      <c r="L18" s="21">
        <f>MAX((L5+L16),0)</f>
        <v>0</v>
      </c>
      <c r="M18" s="21"/>
      <c r="N18" s="21">
        <f>MAX((N5+N16),0)</f>
        <v>4003.1555229763112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0.22072948211650667</v>
      </c>
      <c r="C20" s="25">
        <f ca="1">'EF ele_warmte'!B22</f>
        <v>0.23754261439947602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3887.7052798902032</v>
      </c>
      <c r="C22" s="23">
        <f ca="1">C18*C20</f>
        <v>0</v>
      </c>
      <c r="D22" s="23">
        <f>D18*D20</f>
        <v>10949.279660265796</v>
      </c>
      <c r="E22" s="23">
        <f>E18*E20</f>
        <v>222.08817174696296</v>
      </c>
      <c r="F22" s="23">
        <f>F18*F20</f>
        <v>1802.0068932635093</v>
      </c>
      <c r="G22" s="23"/>
      <c r="H22" s="23"/>
      <c r="I22" s="23"/>
      <c r="J22" s="23">
        <f>J18*J20</f>
        <v>9.2157054983222348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100.80624856792801</v>
      </c>
      <c r="C30" s="39">
        <f>IF(ISERROR(B30*3.6/1000000/'E Balans VL '!Z18*100),0,B30*3.6/1000000/'E Balans VL '!Z18*100)</f>
        <v>5.7129485904719212E-3</v>
      </c>
      <c r="D30" s="237" t="s">
        <v>754</v>
      </c>
    </row>
    <row r="31" spans="1:18">
      <c r="A31" s="6" t="s">
        <v>33</v>
      </c>
      <c r="B31" s="37">
        <f>IF( ISERROR(IND_ander_ele_kWh/1000),0,IND_ander_ele_kWh/1000)</f>
        <v>1778.7072493201101</v>
      </c>
      <c r="C31" s="39">
        <f>IF(ISERROR(B31*3.6/1000000/'E Balans VL '!Z19*100),0,B31*3.6/1000000/'E Balans VL '!Z19*100)</f>
        <v>8.0674754421080297E-2</v>
      </c>
      <c r="D31" s="237" t="s">
        <v>754</v>
      </c>
    </row>
    <row r="32" spans="1:18">
      <c r="A32" s="171" t="s">
        <v>41</v>
      </c>
      <c r="B32" s="37">
        <f>IF( ISERROR(IND_voed_ele_kWh/1000),0,IND_voed_ele_kWh/1000)</f>
        <v>211.99127882818701</v>
      </c>
      <c r="C32" s="39">
        <f>IF(ISERROR(B32*3.6/1000000/'E Balans VL '!Z20*100),0,B32*3.6/1000000/'E Balans VL '!Z20*100)</f>
        <v>6.5578526133044344E-3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15249.574933407999</v>
      </c>
      <c r="C34" s="39">
        <f>IF(ISERROR(B34*3.6/1000000/'E Balans VL '!Z22*100),0,B34*3.6/1000000/'E Balans VL '!Z22*100)</f>
        <v>2.7429227492617092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271.90629705615498</v>
      </c>
      <c r="C37" s="39">
        <f>IF(ISERROR(B37*3.6/1000000/'E Balans VL '!Z15*100),0,B37*3.6/1000000/'E Balans VL '!Z15*100)</f>
        <v>2.1551913368614197E-3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1176.774750035139</v>
      </c>
      <c r="C5" s="17">
        <f>'Eigen informatie GS &amp; warmtenet'!B60</f>
        <v>0</v>
      </c>
      <c r="D5" s="30">
        <f>IF(ISERROR(SUM(LB_lb_gas_kWh,LB_rest_gas_kWh,onbekend_gas_kWh)/1000),0,SUM(LB_lb_gas_kWh,LB_rest_gas_kWh,onbekend_gas_kWh)/1000)*0.902</f>
        <v>119226.48362497805</v>
      </c>
      <c r="E5" s="17">
        <f>B17*'E Balans VL '!I25/3.6*1000000/100</f>
        <v>34.589004188477098</v>
      </c>
      <c r="F5" s="17">
        <f>B17*('E Balans VL '!L25/3.6*1000000+'E Balans VL '!N25/3.6*1000000)/100</f>
        <v>4902.3800190765651</v>
      </c>
      <c r="G5" s="18"/>
      <c r="H5" s="17"/>
      <c r="I5" s="17"/>
      <c r="J5" s="17">
        <f>('E Balans VL '!D25+'E Balans VL '!E25)/3.6*1000000*landbouw!B17/100</f>
        <v>170.4893897530543</v>
      </c>
      <c r="K5" s="17"/>
      <c r="L5" s="17">
        <f>L6*(-1)</f>
        <v>0</v>
      </c>
      <c r="M5" s="17"/>
      <c r="N5" s="17">
        <f>N6*(-1)</f>
        <v>72.749999999999986</v>
      </c>
      <c r="O5" s="17"/>
      <c r="P5" s="17"/>
      <c r="R5" s="32"/>
    </row>
    <row r="6" spans="1:18">
      <c r="A6" s="16" t="s">
        <v>488</v>
      </c>
      <c r="B6" s="17" t="s">
        <v>211</v>
      </c>
      <c r="C6" s="17">
        <f>'lokale energieproductie'!O91+'lokale energieproductie'!O60</f>
        <v>82765.660714285725</v>
      </c>
      <c r="D6" s="310">
        <f>('lokale energieproductie'!P60+'lokale energieproductie'!P91)*(-1)</f>
        <v>-165458.57142857145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1176.774750035139</v>
      </c>
      <c r="C8" s="21">
        <f>C5+C6</f>
        <v>82765.660714285725</v>
      </c>
      <c r="D8" s="21">
        <f>MAX((D5+D6),0)</f>
        <v>0</v>
      </c>
      <c r="E8" s="21">
        <f>MAX((E5+E6),0)</f>
        <v>34.589004188477098</v>
      </c>
      <c r="F8" s="21">
        <f>MAX((F5+F6),0)</f>
        <v>4902.3800190765651</v>
      </c>
      <c r="G8" s="21"/>
      <c r="H8" s="21"/>
      <c r="I8" s="21"/>
      <c r="J8" s="21">
        <f>MAX((J5+J6),0)</f>
        <v>170.4893897530543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0.22072948211650667</v>
      </c>
      <c r="C10" s="31">
        <f ca="1">'EF ele_warmte'!B22</f>
        <v>0.23754261439947602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259.74888114303781</v>
      </c>
      <c r="C12" s="23">
        <f ca="1">C8*C10</f>
        <v>19660.371428571434</v>
      </c>
      <c r="D12" s="23">
        <f>D8*D10</f>
        <v>0</v>
      </c>
      <c r="E12" s="23">
        <f>E8*E10</f>
        <v>7.8517039507843016</v>
      </c>
      <c r="F12" s="23">
        <f>F8*F10</f>
        <v>1308.9354650934429</v>
      </c>
      <c r="G12" s="23"/>
      <c r="H12" s="23"/>
      <c r="I12" s="23"/>
      <c r="J12" s="23">
        <f>J8*J10</f>
        <v>60.353243972581218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0.16698802904816937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134.7685535720056</v>
      </c>
      <c r="C26" s="247">
        <f>B26*'GWP N2O_CH4'!B5</f>
        <v>2830.1396250121174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29.845461402560773</v>
      </c>
      <c r="C27" s="247">
        <f>B27*'GWP N2O_CH4'!B5</f>
        <v>626.75468945377622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1.5164694460825907</v>
      </c>
      <c r="C28" s="247">
        <f>B28*'GWP N2O_CH4'!B4</f>
        <v>470.1055282856031</v>
      </c>
      <c r="D28" s="50"/>
    </row>
    <row r="29" spans="1:4">
      <c r="A29" s="41" t="s">
        <v>277</v>
      </c>
      <c r="B29" s="247">
        <f>B34*'ha_N2O bodem landbouw'!B4</f>
        <v>4.0820152175610778</v>
      </c>
      <c r="C29" s="247">
        <f>B29*'GWP N2O_CH4'!B4</f>
        <v>1265.424717443934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9.3150180539718736E-4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4.071153842307736E-4</v>
      </c>
      <c r="C5" s="463" t="s">
        <v>211</v>
      </c>
      <c r="D5" s="448">
        <f>SUM(D6:D11)</f>
        <v>1.2806582786135945E-3</v>
      </c>
      <c r="E5" s="448">
        <f>SUM(E6:E11)</f>
        <v>1.9694475639819515E-3</v>
      </c>
      <c r="F5" s="461" t="s">
        <v>211</v>
      </c>
      <c r="G5" s="448">
        <f>SUM(G6:G11)</f>
        <v>0.78334559870568299</v>
      </c>
      <c r="H5" s="448">
        <f>SUM(H6:H11)</f>
        <v>0.14872103808034076</v>
      </c>
      <c r="I5" s="463" t="s">
        <v>211</v>
      </c>
      <c r="J5" s="463" t="s">
        <v>211</v>
      </c>
      <c r="K5" s="463" t="s">
        <v>211</v>
      </c>
      <c r="L5" s="463" t="s">
        <v>211</v>
      </c>
      <c r="M5" s="448">
        <f>SUM(M6:M11)</f>
        <v>5.0181615402398357E-2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1.7876519869259723E-4</v>
      </c>
      <c r="C6" s="449"/>
      <c r="D6" s="962">
        <f>vkm_2011_GW_PW*SUMIFS(TableVerdeelsleutelVkm[CNG],TableVerdeelsleutelVkm[Voertuigtype],"Lichte voertuigen")*SUMIFS(TableECFTransport[EnergieConsumptieFactor (PJ per km)],TableECFTransport[Index],CONCATENATE($A6,"_CNG_CNG"))</f>
        <v>5.3619299418651155E-4</v>
      </c>
      <c r="E6" s="962">
        <f>vkm_2011_GW_PW*SUMIFS(TableVerdeelsleutelVkm[LPG],TableVerdeelsleutelVkm[Voertuigtype],"Lichte voertuigen")*SUMIFS(TableECFTransport[EnergieConsumptieFactor (PJ per km)],TableECFTransport[Index],CONCATENATE($A6,"_LPG_LPG"))</f>
        <v>7.3251665038665404E-4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0.18939522670482589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6.0975116566547832E-2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1.2875059370101439E-2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0.14560464990726305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4.4369576713709579E-5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8.508652260251829E-3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1.2758059070008169E-5</v>
      </c>
      <c r="C8" s="449"/>
      <c r="D8" s="451">
        <f>vkm_2011_NGW_PW*SUMIFS(TableVerdeelsleutelVkm[CNG],TableVerdeelsleutelVkm[Voertuigtype],"Lichte voertuigen")*SUMIFS(TableECFTransport[EnergieConsumptieFactor (PJ per km)],TableECFTransport[Index],CONCATENATE($A8,"_CNG_CNG"))</f>
        <v>6.8038896424875994E-5</v>
      </c>
      <c r="E8" s="451">
        <f>vkm_2011_NGW_PW*SUMIFS(TableVerdeelsleutelVkm[LPG],TableVerdeelsleutelVkm[Voertuigtype],"Lichte voertuigen")*SUMIFS(TableECFTransport[EnergieConsumptieFactor (PJ per km)],TableECFTransport[Index],CONCATENATE($A8,"_LPG_LPG"))</f>
        <v>8.6083086286530718E-5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2.0741299486481745E-2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7.5189492877231088E-3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1.4349538323409679E-3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1.9137910438078539E-4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5.4901601193998496E-8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1.1183458012643611E-5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2.1559212646816818E-4</v>
      </c>
      <c r="C10" s="449"/>
      <c r="D10" s="451">
        <f>vkm_2011_SW_PW*SUMIFS(TableVerdeelsleutelVkm[CNG],TableVerdeelsleutelVkm[Voertuigtype],"Lichte voertuigen")*SUMIFS(TableECFTransport[EnergieConsumptieFactor (PJ per km)],TableECFTransport[Index],CONCATENATE($A10,"_CNG_CNG"))</f>
        <v>6.7642638800220701E-4</v>
      </c>
      <c r="E10" s="451">
        <f>vkm_2011_SW_PW*SUMIFS(TableVerdeelsleutelVkm[LPG],TableVerdeelsleutelVkm[Voertuigtype],"Lichte voertuigen")*SUMIFS(TableECFTransport[EnergieConsumptieFactor (PJ per km)],TableECFTransport[Index],CONCATENATE($A10,"_LPG_LPG"))</f>
        <v>1.1508478273087666E-3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0.26527303166781641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8.0129192177181702E-2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1.7876725460894735E-2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0.16214001183491511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5.3355570573230143E-5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9.4750410207967376E-3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113.08760673077045</v>
      </c>
      <c r="C14" s="21"/>
      <c r="D14" s="21">
        <f t="shared" ref="D14:M14" si="0">((D5)*10^9/3600)+D12</f>
        <v>355.73841072599851</v>
      </c>
      <c r="E14" s="21">
        <f t="shared" si="0"/>
        <v>547.06876777276432</v>
      </c>
      <c r="F14" s="21"/>
      <c r="G14" s="21">
        <f t="shared" si="0"/>
        <v>217595.99964046749</v>
      </c>
      <c r="H14" s="21">
        <f t="shared" si="0"/>
        <v>41311.399466761322</v>
      </c>
      <c r="I14" s="21"/>
      <c r="J14" s="21"/>
      <c r="K14" s="21"/>
      <c r="L14" s="21"/>
      <c r="M14" s="21">
        <f t="shared" si="0"/>
        <v>13939.33761177732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0.22072948211650667</v>
      </c>
      <c r="C16" s="56">
        <f ca="1">'EF ele_warmte'!B22</f>
        <v>0.23754261439947602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24.961768867478135</v>
      </c>
      <c r="C18" s="23"/>
      <c r="D18" s="23">
        <f t="shared" ref="D18:M18" si="1">D14*D16</f>
        <v>71.859158966651705</v>
      </c>
      <c r="E18" s="23">
        <f t="shared" si="1"/>
        <v>124.1846102844175</v>
      </c>
      <c r="F18" s="23"/>
      <c r="G18" s="23">
        <f t="shared" si="1"/>
        <v>58098.131904004826</v>
      </c>
      <c r="H18" s="23">
        <f t="shared" si="1"/>
        <v>10286.538467223569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7.2774082421193029E-3</v>
      </c>
      <c r="H50" s="321">
        <f t="shared" si="2"/>
        <v>0</v>
      </c>
      <c r="I50" s="321">
        <f t="shared" si="2"/>
        <v>0</v>
      </c>
      <c r="J50" s="321">
        <f t="shared" si="2"/>
        <v>0</v>
      </c>
      <c r="K50" s="321">
        <f t="shared" si="2"/>
        <v>0</v>
      </c>
      <c r="L50" s="321">
        <f t="shared" si="2"/>
        <v>0</v>
      </c>
      <c r="M50" s="321">
        <f t="shared" si="2"/>
        <v>4.1332466147780988E-4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7.2774082421193029E-3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4.1332466147780988E-4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2021.5022894775841</v>
      </c>
      <c r="H54" s="21">
        <f t="shared" si="3"/>
        <v>0</v>
      </c>
      <c r="I54" s="21">
        <f t="shared" si="3"/>
        <v>0</v>
      </c>
      <c r="J54" s="21">
        <f t="shared" si="3"/>
        <v>0</v>
      </c>
      <c r="K54" s="21">
        <f t="shared" si="3"/>
        <v>0</v>
      </c>
      <c r="L54" s="21">
        <f t="shared" si="3"/>
        <v>0</v>
      </c>
      <c r="M54" s="21">
        <f t="shared" si="3"/>
        <v>114.81240596605831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0.22072948211650667</v>
      </c>
      <c r="C56" s="56">
        <f ca="1">'EF ele_warmte'!B22</f>
        <v>0.23754261439947602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539.74111129051494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4441.0531657073452</v>
      </c>
      <c r="C6" s="1204"/>
      <c r="D6" s="1189"/>
      <c r="E6" s="1189"/>
      <c r="F6" s="1207"/>
      <c r="G6" s="1210"/>
      <c r="H6" s="1201"/>
      <c r="I6" s="1189"/>
      <c r="J6" s="1189"/>
      <c r="K6" s="1189"/>
      <c r="L6" s="1193"/>
      <c r="M6" s="575"/>
      <c r="N6" s="1167"/>
      <c r="O6" s="1168"/>
      <c r="Q6" s="573"/>
      <c r="R6" s="1155"/>
      <c r="S6" s="1155"/>
    </row>
    <row r="7" spans="1:19" s="563" customFormat="1">
      <c r="A7" s="576" t="s">
        <v>252</v>
      </c>
      <c r="B7" s="577">
        <f>N57</f>
        <v>57935.962500000001</v>
      </c>
      <c r="C7" s="578">
        <f>B100</f>
        <v>68130</v>
      </c>
      <c r="D7" s="579"/>
      <c r="E7" s="579">
        <f>E100</f>
        <v>0</v>
      </c>
      <c r="F7" s="580"/>
      <c r="G7" s="581"/>
      <c r="H7" s="579">
        <f>I100</f>
        <v>0</v>
      </c>
      <c r="I7" s="579">
        <f>G100+F100</f>
        <v>0</v>
      </c>
      <c r="J7" s="579">
        <f>H100+D100+C100</f>
        <v>29.95588235294117</v>
      </c>
      <c r="K7" s="579"/>
      <c r="L7" s="582"/>
      <c r="M7" s="583">
        <f>C7*$C$11+D7*$D$11+E7*$E$11+F7*$F$11+G7*$G$11+H7*$H$11+I7*$I$11+J7*$J$11</f>
        <v>13762.26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62377.015665707346</v>
      </c>
      <c r="C9" s="594">
        <f t="shared" ref="C9:L9" si="0">SUM(C7:C8)</f>
        <v>68130</v>
      </c>
      <c r="D9" s="594">
        <f t="shared" si="0"/>
        <v>0</v>
      </c>
      <c r="E9" s="594">
        <f t="shared" si="0"/>
        <v>0</v>
      </c>
      <c r="F9" s="594">
        <f t="shared" si="0"/>
        <v>0</v>
      </c>
      <c r="G9" s="594">
        <f t="shared" si="0"/>
        <v>0</v>
      </c>
      <c r="H9" s="594">
        <f t="shared" si="0"/>
        <v>0</v>
      </c>
      <c r="I9" s="594">
        <f t="shared" si="0"/>
        <v>0</v>
      </c>
      <c r="J9" s="594">
        <f t="shared" si="0"/>
        <v>29.95588235294117</v>
      </c>
      <c r="K9" s="594">
        <f t="shared" si="0"/>
        <v>0</v>
      </c>
      <c r="L9" s="594">
        <f t="shared" si="0"/>
        <v>0</v>
      </c>
      <c r="M9" s="595">
        <f>SUM(M4:M8)</f>
        <v>13762.26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82765.660714285725</v>
      </c>
      <c r="C16" s="610">
        <f>B101</f>
        <v>97328.571428571449</v>
      </c>
      <c r="D16" s="611"/>
      <c r="E16" s="611">
        <f>E101</f>
        <v>0</v>
      </c>
      <c r="F16" s="612"/>
      <c r="G16" s="613"/>
      <c r="H16" s="610">
        <f>I101</f>
        <v>0</v>
      </c>
      <c r="I16" s="611">
        <f>G101+F101</f>
        <v>0</v>
      </c>
      <c r="J16" s="611">
        <f>H101+D101+C101</f>
        <v>42.794117647058819</v>
      </c>
      <c r="K16" s="611"/>
      <c r="L16" s="614"/>
      <c r="M16" s="615">
        <f>C16*$C$21+E16*$E$21+H16*$H$21+I16*$I$21+J16*$J$21+D16*$D$21+F16*$F$21+G16*$G$21+K16*$K$21+L16*$L$21</f>
        <v>19660.371428571434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82765.660714285725</v>
      </c>
      <c r="C19" s="593">
        <f>SUM(C16:C18)</f>
        <v>97328.571428571449</v>
      </c>
      <c r="D19" s="593">
        <f t="shared" ref="D19:M19" si="1">SUM(D16:D18)</f>
        <v>0</v>
      </c>
      <c r="E19" s="593">
        <f t="shared" si="1"/>
        <v>0</v>
      </c>
      <c r="F19" s="593">
        <f t="shared" si="1"/>
        <v>0</v>
      </c>
      <c r="G19" s="593">
        <f t="shared" si="1"/>
        <v>0</v>
      </c>
      <c r="H19" s="593">
        <f t="shared" si="1"/>
        <v>0</v>
      </c>
      <c r="I19" s="593">
        <f t="shared" si="1"/>
        <v>0</v>
      </c>
      <c r="J19" s="593">
        <f t="shared" si="1"/>
        <v>42.794117647058819</v>
      </c>
      <c r="K19" s="593">
        <f t="shared" si="1"/>
        <v>0</v>
      </c>
      <c r="L19" s="593">
        <f t="shared" si="1"/>
        <v>0</v>
      </c>
      <c r="M19" s="620">
        <f t="shared" si="1"/>
        <v>19660.371428571434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11037</v>
      </c>
      <c r="C27" s="851">
        <v>2840</v>
      </c>
      <c r="D27" s="672" t="s">
        <v>809</v>
      </c>
      <c r="E27" s="671" t="s">
        <v>810</v>
      </c>
      <c r="F27" s="671" t="s">
        <v>811</v>
      </c>
      <c r="G27" s="671" t="s">
        <v>812</v>
      </c>
      <c r="H27" s="671" t="s">
        <v>813</v>
      </c>
      <c r="I27" s="671" t="s">
        <v>814</v>
      </c>
      <c r="J27" s="850">
        <v>41040</v>
      </c>
      <c r="K27" s="850">
        <v>39164</v>
      </c>
      <c r="L27" s="671" t="s">
        <v>815</v>
      </c>
      <c r="M27" s="671">
        <v>2358</v>
      </c>
      <c r="N27" s="671">
        <v>10611</v>
      </c>
      <c r="O27" s="671">
        <v>15158.571428571429</v>
      </c>
      <c r="P27" s="671">
        <v>30317.142857142859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11037</v>
      </c>
      <c r="C28" s="851">
        <v>2840</v>
      </c>
      <c r="D28" s="672" t="s">
        <v>816</v>
      </c>
      <c r="E28" s="671" t="s">
        <v>817</v>
      </c>
      <c r="F28" s="671" t="s">
        <v>818</v>
      </c>
      <c r="G28" s="671" t="s">
        <v>812</v>
      </c>
      <c r="H28" s="671" t="s">
        <v>813</v>
      </c>
      <c r="I28" s="671" t="s">
        <v>817</v>
      </c>
      <c r="J28" s="850">
        <v>41523</v>
      </c>
      <c r="K28" s="850">
        <v>39170</v>
      </c>
      <c r="L28" s="671" t="s">
        <v>815</v>
      </c>
      <c r="M28" s="671">
        <v>1944</v>
      </c>
      <c r="N28" s="671">
        <v>8748</v>
      </c>
      <c r="O28" s="671">
        <v>12497.142857142857</v>
      </c>
      <c r="P28" s="671">
        <v>24994.285714285717</v>
      </c>
      <c r="Q28" s="671">
        <v>0</v>
      </c>
      <c r="R28" s="671">
        <v>0</v>
      </c>
      <c r="S28" s="671">
        <v>0</v>
      </c>
      <c r="T28" s="671">
        <v>0</v>
      </c>
      <c r="U28" s="671">
        <v>0</v>
      </c>
      <c r="V28" s="671">
        <v>0</v>
      </c>
      <c r="W28" s="671">
        <v>0</v>
      </c>
      <c r="X28" s="671">
        <v>10</v>
      </c>
      <c r="Y28" s="671" t="s">
        <v>112</v>
      </c>
      <c r="Z28" s="673" t="s">
        <v>112</v>
      </c>
    </row>
    <row r="29" spans="1:26" s="625" customFormat="1" ht="25.5">
      <c r="A29" s="624"/>
      <c r="B29" s="851">
        <v>11037</v>
      </c>
      <c r="C29" s="851">
        <v>2840</v>
      </c>
      <c r="D29" s="672" t="s">
        <v>819</v>
      </c>
      <c r="E29" s="671" t="s">
        <v>820</v>
      </c>
      <c r="F29" s="671" t="s">
        <v>821</v>
      </c>
      <c r="G29" s="671" t="s">
        <v>812</v>
      </c>
      <c r="H29" s="671" t="s">
        <v>813</v>
      </c>
      <c r="I29" s="671" t="s">
        <v>820</v>
      </c>
      <c r="J29" s="850">
        <v>41043</v>
      </c>
      <c r="K29" s="850">
        <v>39195</v>
      </c>
      <c r="L29" s="671" t="s">
        <v>815</v>
      </c>
      <c r="M29" s="671">
        <v>2358</v>
      </c>
      <c r="N29" s="671">
        <v>10611</v>
      </c>
      <c r="O29" s="671">
        <v>15158.571428571429</v>
      </c>
      <c r="P29" s="671">
        <v>30317.142857142859</v>
      </c>
      <c r="Q29" s="671">
        <v>0</v>
      </c>
      <c r="R29" s="671">
        <v>0</v>
      </c>
      <c r="S29" s="671">
        <v>0</v>
      </c>
      <c r="T29" s="671">
        <v>0</v>
      </c>
      <c r="U29" s="671">
        <v>0</v>
      </c>
      <c r="V29" s="671">
        <v>0</v>
      </c>
      <c r="W29" s="671">
        <v>0</v>
      </c>
      <c r="X29" s="671">
        <v>10</v>
      </c>
      <c r="Y29" s="671" t="s">
        <v>112</v>
      </c>
      <c r="Z29" s="673" t="s">
        <v>112</v>
      </c>
    </row>
    <row r="30" spans="1:26" s="625" customFormat="1" ht="25.5">
      <c r="A30" s="624"/>
      <c r="B30" s="851">
        <v>11037</v>
      </c>
      <c r="C30" s="851">
        <v>2840</v>
      </c>
      <c r="D30" s="672" t="s">
        <v>822</v>
      </c>
      <c r="E30" s="671" t="s">
        <v>823</v>
      </c>
      <c r="F30" s="671" t="s">
        <v>824</v>
      </c>
      <c r="G30" s="671" t="s">
        <v>812</v>
      </c>
      <c r="H30" s="671" t="s">
        <v>813</v>
      </c>
      <c r="I30" s="671" t="s">
        <v>823</v>
      </c>
      <c r="J30" s="850">
        <v>39838</v>
      </c>
      <c r="K30" s="850">
        <v>39198</v>
      </c>
      <c r="L30" s="671" t="s">
        <v>815</v>
      </c>
      <c r="M30" s="671">
        <v>2333</v>
      </c>
      <c r="N30" s="671">
        <v>10498.5</v>
      </c>
      <c r="O30" s="671">
        <v>14997.857142857143</v>
      </c>
      <c r="P30" s="671">
        <v>29995.714285714286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11037</v>
      </c>
      <c r="C31" s="851">
        <v>2840</v>
      </c>
      <c r="D31" s="672" t="s">
        <v>825</v>
      </c>
      <c r="E31" s="671" t="s">
        <v>826</v>
      </c>
      <c r="F31" s="671" t="s">
        <v>827</v>
      </c>
      <c r="G31" s="671" t="s">
        <v>812</v>
      </c>
      <c r="H31" s="671" t="s">
        <v>813</v>
      </c>
      <c r="I31" s="671" t="s">
        <v>826</v>
      </c>
      <c r="J31" s="850">
        <v>39203</v>
      </c>
      <c r="K31" s="850">
        <v>39303</v>
      </c>
      <c r="L31" s="671" t="s">
        <v>815</v>
      </c>
      <c r="M31" s="671">
        <v>1532</v>
      </c>
      <c r="N31" s="671">
        <v>6894</v>
      </c>
      <c r="O31" s="671">
        <v>9848.5714285714294</v>
      </c>
      <c r="P31" s="671">
        <v>19697.142857142859</v>
      </c>
      <c r="Q31" s="671">
        <v>0</v>
      </c>
      <c r="R31" s="671">
        <v>0</v>
      </c>
      <c r="S31" s="671">
        <v>0</v>
      </c>
      <c r="T31" s="671">
        <v>0</v>
      </c>
      <c r="U31" s="671">
        <v>0</v>
      </c>
      <c r="V31" s="671">
        <v>0</v>
      </c>
      <c r="W31" s="671">
        <v>0</v>
      </c>
      <c r="X31" s="671">
        <v>10</v>
      </c>
      <c r="Y31" s="671" t="s">
        <v>112</v>
      </c>
      <c r="Z31" s="673" t="s">
        <v>112</v>
      </c>
    </row>
    <row r="32" spans="1:26" s="625" customFormat="1" ht="25.5">
      <c r="A32" s="624"/>
      <c r="B32" s="851">
        <v>11037</v>
      </c>
      <c r="C32" s="851">
        <v>2840</v>
      </c>
      <c r="D32" s="672" t="s">
        <v>828</v>
      </c>
      <c r="E32" s="671" t="s">
        <v>829</v>
      </c>
      <c r="F32" s="671" t="s">
        <v>830</v>
      </c>
      <c r="G32" s="671" t="s">
        <v>812</v>
      </c>
      <c r="H32" s="671" t="s">
        <v>813</v>
      </c>
      <c r="I32" s="671" t="s">
        <v>829</v>
      </c>
      <c r="J32" s="850">
        <v>39203</v>
      </c>
      <c r="K32" s="850">
        <v>39303</v>
      </c>
      <c r="L32" s="671" t="s">
        <v>815</v>
      </c>
      <c r="M32" s="671">
        <v>1532</v>
      </c>
      <c r="N32" s="671">
        <v>6894</v>
      </c>
      <c r="O32" s="671">
        <v>9848.5714285714294</v>
      </c>
      <c r="P32" s="671">
        <v>19697.142857142859</v>
      </c>
      <c r="Q32" s="671">
        <v>0</v>
      </c>
      <c r="R32" s="671">
        <v>0</v>
      </c>
      <c r="S32" s="671">
        <v>0</v>
      </c>
      <c r="T32" s="671">
        <v>0</v>
      </c>
      <c r="U32" s="671">
        <v>0</v>
      </c>
      <c r="V32" s="671">
        <v>0</v>
      </c>
      <c r="W32" s="671">
        <v>0</v>
      </c>
      <c r="X32" s="671">
        <v>11</v>
      </c>
      <c r="Y32" s="671" t="s">
        <v>112</v>
      </c>
      <c r="Z32" s="673" t="s">
        <v>112</v>
      </c>
    </row>
    <row r="33" spans="1:26" s="625" customFormat="1" ht="25.5">
      <c r="A33" s="624"/>
      <c r="B33" s="851">
        <v>11037</v>
      </c>
      <c r="C33" s="851">
        <v>2840</v>
      </c>
      <c r="D33" s="672" t="s">
        <v>831</v>
      </c>
      <c r="E33" s="671" t="s">
        <v>832</v>
      </c>
      <c r="F33" s="671" t="s">
        <v>833</v>
      </c>
      <c r="G33" s="671" t="s">
        <v>812</v>
      </c>
      <c r="H33" s="671" t="s">
        <v>813</v>
      </c>
      <c r="I33" s="671" t="s">
        <v>832</v>
      </c>
      <c r="J33" s="850">
        <v>41037</v>
      </c>
      <c r="K33" s="850">
        <v>41037</v>
      </c>
      <c r="L33" s="671" t="s">
        <v>815</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11037</v>
      </c>
      <c r="C34" s="851">
        <v>2840</v>
      </c>
      <c r="D34" s="672" t="s">
        <v>834</v>
      </c>
      <c r="E34" s="671" t="s">
        <v>835</v>
      </c>
      <c r="F34" s="671" t="s">
        <v>836</v>
      </c>
      <c r="G34" s="671" t="s">
        <v>812</v>
      </c>
      <c r="H34" s="671" t="s">
        <v>813</v>
      </c>
      <c r="I34" s="671" t="s">
        <v>835</v>
      </c>
      <c r="J34" s="850">
        <v>41431</v>
      </c>
      <c r="K34" s="850">
        <v>41431</v>
      </c>
      <c r="L34" s="671" t="s">
        <v>815</v>
      </c>
      <c r="M34" s="671">
        <v>12</v>
      </c>
      <c r="N34" s="671">
        <v>54</v>
      </c>
      <c r="O34" s="671">
        <v>77.142857142857139</v>
      </c>
      <c r="P34" s="671">
        <v>154.28571428571431</v>
      </c>
      <c r="Q34" s="671">
        <v>0</v>
      </c>
      <c r="R34" s="671">
        <v>0</v>
      </c>
      <c r="S34" s="671">
        <v>0</v>
      </c>
      <c r="T34" s="671">
        <v>0</v>
      </c>
      <c r="U34" s="671">
        <v>0</v>
      </c>
      <c r="V34" s="671">
        <v>0</v>
      </c>
      <c r="W34" s="671">
        <v>0</v>
      </c>
      <c r="X34" s="671">
        <v>10</v>
      </c>
      <c r="Y34" s="671" t="s">
        <v>112</v>
      </c>
      <c r="Z34" s="673" t="s">
        <v>112</v>
      </c>
    </row>
    <row r="35" spans="1:26" s="625" customFormat="1" ht="25.5">
      <c r="A35" s="624"/>
      <c r="B35" s="851">
        <v>11037</v>
      </c>
      <c r="C35" s="851">
        <v>2840</v>
      </c>
      <c r="D35" s="672"/>
      <c r="E35" s="671"/>
      <c r="F35" s="671" t="s">
        <v>837</v>
      </c>
      <c r="G35" s="671" t="s">
        <v>812</v>
      </c>
      <c r="H35" s="671" t="s">
        <v>813</v>
      </c>
      <c r="I35" s="671" t="s">
        <v>838</v>
      </c>
      <c r="J35" s="850">
        <v>42146</v>
      </c>
      <c r="K35" s="850">
        <v>42146</v>
      </c>
      <c r="L35" s="671" t="s">
        <v>815</v>
      </c>
      <c r="M35" s="671">
        <v>9.6999999999999993</v>
      </c>
      <c r="N35" s="671">
        <v>25.462499999999995</v>
      </c>
      <c r="O35" s="671">
        <v>36.374999999999993</v>
      </c>
      <c r="P35" s="671">
        <v>0</v>
      </c>
      <c r="Q35" s="671">
        <v>72.749999999999986</v>
      </c>
      <c r="R35" s="671">
        <v>0</v>
      </c>
      <c r="S35" s="671">
        <v>0</v>
      </c>
      <c r="T35" s="671">
        <v>0</v>
      </c>
      <c r="U35" s="671">
        <v>0</v>
      </c>
      <c r="V35" s="671">
        <v>0</v>
      </c>
      <c r="W35" s="671">
        <v>0</v>
      </c>
      <c r="X35" s="671">
        <v>10</v>
      </c>
      <c r="Y35" s="671" t="s">
        <v>112</v>
      </c>
      <c r="Z35" s="673" t="s">
        <v>112</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12878.7</v>
      </c>
      <c r="N57" s="629">
        <f>SUM(N27:N56)</f>
        <v>57935.962500000001</v>
      </c>
      <c r="O57" s="629">
        <f t="shared" ref="O57:W57" si="2">SUM(O27:O56)</f>
        <v>82765.660714285725</v>
      </c>
      <c r="P57" s="629">
        <f t="shared" si="2"/>
        <v>165458.57142857145</v>
      </c>
      <c r="Q57" s="629">
        <f t="shared" si="2"/>
        <v>72.749999999999986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12878.7</v>
      </c>
      <c r="N60" s="634">
        <f t="shared" ref="N60:W60" si="4">SUMIF($Z$27:$Z$56,"landbouw",N27:N56)</f>
        <v>57935.962500000001</v>
      </c>
      <c r="O60" s="634">
        <f t="shared" si="4"/>
        <v>82765.660714285725</v>
      </c>
      <c r="P60" s="634">
        <f t="shared" si="4"/>
        <v>165458.57142857145</v>
      </c>
      <c r="Q60" s="634">
        <f t="shared" si="4"/>
        <v>72.749999999999986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68130</v>
      </c>
      <c r="C100" s="663">
        <f t="shared" si="9"/>
        <v>29.95588235294117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97328.571428571449</v>
      </c>
      <c r="C101" s="666">
        <f t="shared" ref="C101:H101" si="10">$B$97*Q57</f>
        <v>42.794117647058819</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40109.082338566252</v>
      </c>
      <c r="D10" s="718">
        <f ca="1">tertiair!C16</f>
        <v>0</v>
      </c>
      <c r="E10" s="718">
        <f ca="1">tertiair!D16</f>
        <v>27132.430036046393</v>
      </c>
      <c r="F10" s="718">
        <f>tertiair!E16</f>
        <v>390.93843750438054</v>
      </c>
      <c r="G10" s="718">
        <f ca="1">tertiair!F16</f>
        <v>7944.9941055881754</v>
      </c>
      <c r="H10" s="718">
        <f>tertiair!G16</f>
        <v>0</v>
      </c>
      <c r="I10" s="718">
        <f>tertiair!H16</f>
        <v>0</v>
      </c>
      <c r="J10" s="718">
        <f>tertiair!I16</f>
        <v>0</v>
      </c>
      <c r="K10" s="718">
        <f>tertiair!J16</f>
        <v>0.33844413620042307</v>
      </c>
      <c r="L10" s="718">
        <f>tertiair!K16</f>
        <v>0</v>
      </c>
      <c r="M10" s="718">
        <f ca="1">tertiair!L16</f>
        <v>0</v>
      </c>
      <c r="N10" s="718">
        <f>tertiair!M16</f>
        <v>0</v>
      </c>
      <c r="O10" s="718">
        <f ca="1">tertiair!N16</f>
        <v>13336.823480677105</v>
      </c>
      <c r="P10" s="718">
        <f>tertiair!O16</f>
        <v>0</v>
      </c>
      <c r="Q10" s="719">
        <f>tertiair!P16</f>
        <v>19.066666666666666</v>
      </c>
      <c r="R10" s="721">
        <f ca="1">SUM(C10:Q10)</f>
        <v>88933.673509185173</v>
      </c>
      <c r="S10" s="67"/>
    </row>
    <row r="11" spans="1:19" s="474" customFormat="1">
      <c r="A11" s="870" t="s">
        <v>225</v>
      </c>
      <c r="B11" s="875"/>
      <c r="C11" s="718">
        <f>huishoudens!B8</f>
        <v>26233.679767049482</v>
      </c>
      <c r="D11" s="718">
        <f>huishoudens!C8</f>
        <v>0</v>
      </c>
      <c r="E11" s="718">
        <f>huishoudens!D8</f>
        <v>71614.183336213871</v>
      </c>
      <c r="F11" s="718">
        <f>huishoudens!E8</f>
        <v>1054.3041052498124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5688.9343304714257</v>
      </c>
      <c r="P11" s="718">
        <f>huishoudens!O8</f>
        <v>162.58666666666667</v>
      </c>
      <c r="Q11" s="719">
        <f>huishoudens!P8</f>
        <v>724.5333333333333</v>
      </c>
      <c r="R11" s="721">
        <f>SUM(C11:Q11)</f>
        <v>105478.22153898461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17612.986007180378</v>
      </c>
      <c r="D13" s="718">
        <f>industrie!C18</f>
        <v>0</v>
      </c>
      <c r="E13" s="718">
        <f>industrie!D18</f>
        <v>54204.354753791071</v>
      </c>
      <c r="F13" s="718">
        <f>industrie!E18</f>
        <v>978.36199007472669</v>
      </c>
      <c r="G13" s="718">
        <f>industrie!F18</f>
        <v>6749.089487878311</v>
      </c>
      <c r="H13" s="718">
        <f>industrie!G18</f>
        <v>0</v>
      </c>
      <c r="I13" s="718">
        <f>industrie!H18</f>
        <v>0</v>
      </c>
      <c r="J13" s="718">
        <f>industrie!I18</f>
        <v>0</v>
      </c>
      <c r="K13" s="718">
        <f>industrie!J18</f>
        <v>26.03306637944134</v>
      </c>
      <c r="L13" s="718">
        <f>industrie!K18</f>
        <v>0</v>
      </c>
      <c r="M13" s="718">
        <f>industrie!L18</f>
        <v>0</v>
      </c>
      <c r="N13" s="718">
        <f>industrie!M18</f>
        <v>0</v>
      </c>
      <c r="O13" s="718">
        <f>industrie!N18</f>
        <v>4003.1555229763112</v>
      </c>
      <c r="P13" s="718">
        <f>industrie!O18</f>
        <v>0</v>
      </c>
      <c r="Q13" s="719">
        <f>industrie!P18</f>
        <v>0</v>
      </c>
      <c r="R13" s="721">
        <f>SUM(C13:Q13)</f>
        <v>83573.980828280255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83955.748112796107</v>
      </c>
      <c r="D15" s="723">
        <f t="shared" ref="D15:Q15" ca="1" si="0">SUM(D9:D14)</f>
        <v>0</v>
      </c>
      <c r="E15" s="723">
        <f t="shared" ca="1" si="0"/>
        <v>152950.96812605133</v>
      </c>
      <c r="F15" s="723">
        <f t="shared" si="0"/>
        <v>2423.6045328289197</v>
      </c>
      <c r="G15" s="723">
        <f t="shared" ca="1" si="0"/>
        <v>14694.083593466486</v>
      </c>
      <c r="H15" s="723">
        <f t="shared" si="0"/>
        <v>0</v>
      </c>
      <c r="I15" s="723">
        <f t="shared" si="0"/>
        <v>0</v>
      </c>
      <c r="J15" s="723">
        <f t="shared" si="0"/>
        <v>0</v>
      </c>
      <c r="K15" s="723">
        <f t="shared" si="0"/>
        <v>26.371510515641763</v>
      </c>
      <c r="L15" s="723">
        <f t="shared" si="0"/>
        <v>0</v>
      </c>
      <c r="M15" s="723">
        <f t="shared" ca="1" si="0"/>
        <v>0</v>
      </c>
      <c r="N15" s="723">
        <f t="shared" si="0"/>
        <v>0</v>
      </c>
      <c r="O15" s="723">
        <f t="shared" ca="1" si="0"/>
        <v>23028.913334124842</v>
      </c>
      <c r="P15" s="723">
        <f t="shared" si="0"/>
        <v>162.58666666666667</v>
      </c>
      <c r="Q15" s="724">
        <f t="shared" si="0"/>
        <v>743.6</v>
      </c>
      <c r="R15" s="725">
        <f ca="1">SUM(R9:R14)</f>
        <v>277985.87587645004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2021.5022894775841</v>
      </c>
      <c r="I18" s="718">
        <f>transport!H54</f>
        <v>0</v>
      </c>
      <c r="J18" s="718">
        <f>transport!I54</f>
        <v>0</v>
      </c>
      <c r="K18" s="718">
        <f>transport!J54</f>
        <v>0</v>
      </c>
      <c r="L18" s="718">
        <f>transport!K54</f>
        <v>0</v>
      </c>
      <c r="M18" s="718">
        <f>transport!L54</f>
        <v>0</v>
      </c>
      <c r="N18" s="718">
        <f>transport!M54</f>
        <v>114.81240596605831</v>
      </c>
      <c r="O18" s="718">
        <f>transport!N54</f>
        <v>0</v>
      </c>
      <c r="P18" s="718">
        <f>transport!O54</f>
        <v>0</v>
      </c>
      <c r="Q18" s="719">
        <f>transport!P54</f>
        <v>0</v>
      </c>
      <c r="R18" s="721">
        <f>SUM(C18:Q18)</f>
        <v>2136.3146954436424</v>
      </c>
      <c r="S18" s="67"/>
    </row>
    <row r="19" spans="1:19" s="474" customFormat="1" ht="15" thickBot="1">
      <c r="A19" s="870" t="s">
        <v>307</v>
      </c>
      <c r="B19" s="875"/>
      <c r="C19" s="727">
        <f>transport!B14</f>
        <v>113.08760673077045</v>
      </c>
      <c r="D19" s="727">
        <f>transport!C14</f>
        <v>0</v>
      </c>
      <c r="E19" s="727">
        <f>transport!D14</f>
        <v>355.73841072599851</v>
      </c>
      <c r="F19" s="727">
        <f>transport!E14</f>
        <v>547.06876777276432</v>
      </c>
      <c r="G19" s="727">
        <f>transport!F14</f>
        <v>0</v>
      </c>
      <c r="H19" s="727">
        <f>transport!G14</f>
        <v>217595.99964046749</v>
      </c>
      <c r="I19" s="727">
        <f>transport!H14</f>
        <v>41311.399466761322</v>
      </c>
      <c r="J19" s="727">
        <f>transport!I14</f>
        <v>0</v>
      </c>
      <c r="K19" s="727">
        <f>transport!J14</f>
        <v>0</v>
      </c>
      <c r="L19" s="727">
        <f>transport!K14</f>
        <v>0</v>
      </c>
      <c r="M19" s="727">
        <f>transport!L14</f>
        <v>0</v>
      </c>
      <c r="N19" s="727">
        <f>transport!M14</f>
        <v>13939.33761177732</v>
      </c>
      <c r="O19" s="727">
        <f>transport!N14</f>
        <v>0</v>
      </c>
      <c r="P19" s="727">
        <f>transport!O14</f>
        <v>0</v>
      </c>
      <c r="Q19" s="728">
        <f>transport!P14</f>
        <v>0</v>
      </c>
      <c r="R19" s="729">
        <f>SUM(C19:Q19)</f>
        <v>273862.63150423567</v>
      </c>
      <c r="S19" s="67"/>
    </row>
    <row r="20" spans="1:19" s="474" customFormat="1" ht="15.75" thickBot="1">
      <c r="A20" s="730" t="s">
        <v>230</v>
      </c>
      <c r="B20" s="878"/>
      <c r="C20" s="873">
        <f>SUM(C17:C19)</f>
        <v>113.08760673077045</v>
      </c>
      <c r="D20" s="731">
        <f t="shared" ref="D20:R20" si="1">SUM(D17:D19)</f>
        <v>0</v>
      </c>
      <c r="E20" s="731">
        <f t="shared" si="1"/>
        <v>355.73841072599851</v>
      </c>
      <c r="F20" s="731">
        <f t="shared" si="1"/>
        <v>547.06876777276432</v>
      </c>
      <c r="G20" s="731">
        <f t="shared" si="1"/>
        <v>0</v>
      </c>
      <c r="H20" s="731">
        <f t="shared" si="1"/>
        <v>219617.50192994508</v>
      </c>
      <c r="I20" s="731">
        <f t="shared" si="1"/>
        <v>41311.399466761322</v>
      </c>
      <c r="J20" s="731">
        <f t="shared" si="1"/>
        <v>0</v>
      </c>
      <c r="K20" s="731">
        <f t="shared" si="1"/>
        <v>0</v>
      </c>
      <c r="L20" s="731">
        <f t="shared" si="1"/>
        <v>0</v>
      </c>
      <c r="M20" s="731">
        <f t="shared" si="1"/>
        <v>0</v>
      </c>
      <c r="N20" s="731">
        <f t="shared" si="1"/>
        <v>14054.150017743379</v>
      </c>
      <c r="O20" s="731">
        <f t="shared" si="1"/>
        <v>0</v>
      </c>
      <c r="P20" s="731">
        <f t="shared" si="1"/>
        <v>0</v>
      </c>
      <c r="Q20" s="732">
        <f t="shared" si="1"/>
        <v>0</v>
      </c>
      <c r="R20" s="733">
        <f t="shared" si="1"/>
        <v>275998.94619967934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1176.774750035139</v>
      </c>
      <c r="D22" s="727">
        <f>+landbouw!C8</f>
        <v>82765.660714285725</v>
      </c>
      <c r="E22" s="727">
        <f>+landbouw!D8</f>
        <v>0</v>
      </c>
      <c r="F22" s="727">
        <f>+landbouw!E8</f>
        <v>34.589004188477098</v>
      </c>
      <c r="G22" s="727">
        <f>+landbouw!F8</f>
        <v>4902.3800190765651</v>
      </c>
      <c r="H22" s="727">
        <f>+landbouw!G8</f>
        <v>0</v>
      </c>
      <c r="I22" s="727">
        <f>+landbouw!H8</f>
        <v>0</v>
      </c>
      <c r="J22" s="727">
        <f>+landbouw!I8</f>
        <v>0</v>
      </c>
      <c r="K22" s="727">
        <f>+landbouw!J8</f>
        <v>170.4893897530543</v>
      </c>
      <c r="L22" s="727">
        <f>+landbouw!K8</f>
        <v>0</v>
      </c>
      <c r="M22" s="727">
        <f>+landbouw!L8</f>
        <v>0</v>
      </c>
      <c r="N22" s="727">
        <f>+landbouw!M8</f>
        <v>0</v>
      </c>
      <c r="O22" s="727">
        <f>+landbouw!N8</f>
        <v>0</v>
      </c>
      <c r="P22" s="727">
        <f>+landbouw!O8</f>
        <v>0</v>
      </c>
      <c r="Q22" s="728">
        <f>+landbouw!P8</f>
        <v>0</v>
      </c>
      <c r="R22" s="729">
        <f>SUM(C22:Q22)</f>
        <v>89049.893877338953</v>
      </c>
      <c r="S22" s="67"/>
    </row>
    <row r="23" spans="1:19" s="474" customFormat="1" ht="17.25" thickTop="1" thickBot="1">
      <c r="A23" s="734" t="s">
        <v>116</v>
      </c>
      <c r="B23" s="864"/>
      <c r="C23" s="735">
        <f ca="1">C20+C15+C22</f>
        <v>85245.610469562016</v>
      </c>
      <c r="D23" s="735">
        <f t="shared" ref="D23:Q23" ca="1" si="2">D20+D15+D22</f>
        <v>82765.660714285725</v>
      </c>
      <c r="E23" s="735">
        <f t="shared" ca="1" si="2"/>
        <v>153306.70653677732</v>
      </c>
      <c r="F23" s="735">
        <f t="shared" si="2"/>
        <v>3005.2623047901611</v>
      </c>
      <c r="G23" s="735">
        <f t="shared" ca="1" si="2"/>
        <v>19596.463612543052</v>
      </c>
      <c r="H23" s="735">
        <f t="shared" si="2"/>
        <v>219617.50192994508</v>
      </c>
      <c r="I23" s="735">
        <f t="shared" si="2"/>
        <v>41311.399466761322</v>
      </c>
      <c r="J23" s="735">
        <f t="shared" si="2"/>
        <v>0</v>
      </c>
      <c r="K23" s="735">
        <f t="shared" si="2"/>
        <v>196.86090026869607</v>
      </c>
      <c r="L23" s="735">
        <f t="shared" si="2"/>
        <v>0</v>
      </c>
      <c r="M23" s="735">
        <f t="shared" ca="1" si="2"/>
        <v>0</v>
      </c>
      <c r="N23" s="735">
        <f t="shared" si="2"/>
        <v>14054.150017743379</v>
      </c>
      <c r="O23" s="735">
        <f t="shared" ca="1" si="2"/>
        <v>23028.913334124842</v>
      </c>
      <c r="P23" s="735">
        <f t="shared" si="2"/>
        <v>162.58666666666667</v>
      </c>
      <c r="Q23" s="736">
        <f t="shared" si="2"/>
        <v>743.6</v>
      </c>
      <c r="R23" s="737">
        <f ca="1">R20+R15+R22</f>
        <v>643034.71595346835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8853.256972760053</v>
      </c>
      <c r="D36" s="718">
        <f ca="1">tertiair!C20</f>
        <v>0</v>
      </c>
      <c r="E36" s="718">
        <f ca="1">tertiair!D20</f>
        <v>5480.7508672813719</v>
      </c>
      <c r="F36" s="718">
        <f>tertiair!E20</f>
        <v>88.743025313494385</v>
      </c>
      <c r="G36" s="718">
        <f ca="1">tertiair!F20</f>
        <v>2121.3134261920432</v>
      </c>
      <c r="H36" s="718">
        <f>tertiair!G20</f>
        <v>0</v>
      </c>
      <c r="I36" s="718">
        <f>tertiair!H20</f>
        <v>0</v>
      </c>
      <c r="J36" s="718">
        <f>tertiair!I20</f>
        <v>0</v>
      </c>
      <c r="K36" s="718">
        <f>tertiair!J20</f>
        <v>0.11980922421494976</v>
      </c>
      <c r="L36" s="718">
        <f>tertiair!K20</f>
        <v>0</v>
      </c>
      <c r="M36" s="718">
        <f ca="1">tertiair!L20</f>
        <v>0</v>
      </c>
      <c r="N36" s="718">
        <f>tertiair!M20</f>
        <v>0</v>
      </c>
      <c r="O36" s="718">
        <f ca="1">tertiair!N20</f>
        <v>0</v>
      </c>
      <c r="P36" s="718">
        <f>tertiair!O20</f>
        <v>0</v>
      </c>
      <c r="Q36" s="828">
        <f>tertiair!P20</f>
        <v>0</v>
      </c>
      <c r="R36" s="917">
        <f ca="1">SUM(C36:Q36)</f>
        <v>16544.184100771177</v>
      </c>
    </row>
    <row r="37" spans="1:18">
      <c r="A37" s="885" t="s">
        <v>225</v>
      </c>
      <c r="B37" s="892"/>
      <c r="C37" s="718">
        <f ca="1">huishoudens!B12</f>
        <v>5790.5465489911112</v>
      </c>
      <c r="D37" s="718">
        <f ca="1">huishoudens!C12</f>
        <v>0</v>
      </c>
      <c r="E37" s="718">
        <f>huishoudens!D12</f>
        <v>14466.065033915203</v>
      </c>
      <c r="F37" s="718">
        <f>huishoudens!E12</f>
        <v>239.32703189170743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20495.938614798019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3887.7052798902032</v>
      </c>
      <c r="D39" s="718">
        <f ca="1">industrie!C22</f>
        <v>0</v>
      </c>
      <c r="E39" s="718">
        <f>industrie!D22</f>
        <v>10949.279660265796</v>
      </c>
      <c r="F39" s="718">
        <f>industrie!E22</f>
        <v>222.08817174696296</v>
      </c>
      <c r="G39" s="718">
        <f>industrie!F22</f>
        <v>1802.0068932635093</v>
      </c>
      <c r="H39" s="718">
        <f>industrie!G22</f>
        <v>0</v>
      </c>
      <c r="I39" s="718">
        <f>industrie!H22</f>
        <v>0</v>
      </c>
      <c r="J39" s="718">
        <f>industrie!I22</f>
        <v>0</v>
      </c>
      <c r="K39" s="718">
        <f>industrie!J22</f>
        <v>9.2157054983222348</v>
      </c>
      <c r="L39" s="718">
        <f>industrie!K22</f>
        <v>0</v>
      </c>
      <c r="M39" s="718">
        <f>industrie!L22</f>
        <v>0</v>
      </c>
      <c r="N39" s="718">
        <f>industrie!M22</f>
        <v>0</v>
      </c>
      <c r="O39" s="718">
        <f>industrie!N22</f>
        <v>0</v>
      </c>
      <c r="P39" s="718">
        <f>industrie!O22</f>
        <v>0</v>
      </c>
      <c r="Q39" s="828">
        <f>industrie!P22</f>
        <v>0</v>
      </c>
      <c r="R39" s="918">
        <f ca="1">SUM(C39:Q39)</f>
        <v>16870.295710664792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18531.508801641368</v>
      </c>
      <c r="D41" s="763">
        <f t="shared" ref="D41:R41" ca="1" si="4">SUM(D35:D40)</f>
        <v>0</v>
      </c>
      <c r="E41" s="763">
        <f t="shared" ca="1" si="4"/>
        <v>30896.095561462374</v>
      </c>
      <c r="F41" s="763">
        <f t="shared" si="4"/>
        <v>550.15822895216479</v>
      </c>
      <c r="G41" s="763">
        <f t="shared" ca="1" si="4"/>
        <v>3923.3203194555526</v>
      </c>
      <c r="H41" s="763">
        <f t="shared" si="4"/>
        <v>0</v>
      </c>
      <c r="I41" s="763">
        <f t="shared" si="4"/>
        <v>0</v>
      </c>
      <c r="J41" s="763">
        <f t="shared" si="4"/>
        <v>0</v>
      </c>
      <c r="K41" s="763">
        <f t="shared" si="4"/>
        <v>9.3355147225371837</v>
      </c>
      <c r="L41" s="763">
        <f t="shared" si="4"/>
        <v>0</v>
      </c>
      <c r="M41" s="763">
        <f t="shared" ca="1" si="4"/>
        <v>0</v>
      </c>
      <c r="N41" s="763">
        <f t="shared" si="4"/>
        <v>0</v>
      </c>
      <c r="O41" s="763">
        <f t="shared" ca="1" si="4"/>
        <v>0</v>
      </c>
      <c r="P41" s="763">
        <f t="shared" si="4"/>
        <v>0</v>
      </c>
      <c r="Q41" s="764">
        <f t="shared" si="4"/>
        <v>0</v>
      </c>
      <c r="R41" s="765">
        <f t="shared" ca="1" si="4"/>
        <v>53910.418426233984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539.74111129051494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539.74111129051494</v>
      </c>
    </row>
    <row r="45" spans="1:18" ht="15" thickBot="1">
      <c r="A45" s="888" t="s">
        <v>307</v>
      </c>
      <c r="B45" s="898"/>
      <c r="C45" s="727">
        <f ca="1">transport!B18</f>
        <v>24.961768867478135</v>
      </c>
      <c r="D45" s="727">
        <f>transport!C18</f>
        <v>0</v>
      </c>
      <c r="E45" s="727">
        <f>transport!D18</f>
        <v>71.859158966651705</v>
      </c>
      <c r="F45" s="727">
        <f>transport!E18</f>
        <v>124.1846102844175</v>
      </c>
      <c r="G45" s="727">
        <f>transport!F18</f>
        <v>0</v>
      </c>
      <c r="H45" s="727">
        <f>transport!G18</f>
        <v>58098.131904004826</v>
      </c>
      <c r="I45" s="727">
        <f>transport!H18</f>
        <v>10286.538467223569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68605.675909346945</v>
      </c>
    </row>
    <row r="46" spans="1:18" ht="15.75" thickBot="1">
      <c r="A46" s="886" t="s">
        <v>230</v>
      </c>
      <c r="B46" s="899"/>
      <c r="C46" s="763">
        <f t="shared" ref="C46:R46" ca="1" si="5">SUM(C43:C45)</f>
        <v>24.961768867478135</v>
      </c>
      <c r="D46" s="763">
        <f t="shared" ca="1" si="5"/>
        <v>0</v>
      </c>
      <c r="E46" s="763">
        <f t="shared" si="5"/>
        <v>71.859158966651705</v>
      </c>
      <c r="F46" s="763">
        <f t="shared" si="5"/>
        <v>124.1846102844175</v>
      </c>
      <c r="G46" s="763">
        <f t="shared" si="5"/>
        <v>0</v>
      </c>
      <c r="H46" s="763">
        <f t="shared" si="5"/>
        <v>58637.873015295343</v>
      </c>
      <c r="I46" s="763">
        <f t="shared" si="5"/>
        <v>10286.538467223569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69145.417020637455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259.74888114303781</v>
      </c>
      <c r="D48" s="718">
        <f ca="1">+landbouw!C12</f>
        <v>19660.371428571434</v>
      </c>
      <c r="E48" s="718">
        <f>+landbouw!D12</f>
        <v>0</v>
      </c>
      <c r="F48" s="718">
        <f>+landbouw!E12</f>
        <v>7.8517039507843016</v>
      </c>
      <c r="G48" s="718">
        <f>+landbouw!F12</f>
        <v>1308.9354650934429</v>
      </c>
      <c r="H48" s="718">
        <f>+landbouw!G12</f>
        <v>0</v>
      </c>
      <c r="I48" s="718">
        <f>+landbouw!H12</f>
        <v>0</v>
      </c>
      <c r="J48" s="718">
        <f>+landbouw!I12</f>
        <v>0</v>
      </c>
      <c r="K48" s="718">
        <f>+landbouw!J12</f>
        <v>60.353243972581218</v>
      </c>
      <c r="L48" s="718">
        <f>+landbouw!K12</f>
        <v>0</v>
      </c>
      <c r="M48" s="718">
        <f>+landbouw!L12</f>
        <v>0</v>
      </c>
      <c r="N48" s="718">
        <f>+landbouw!M12</f>
        <v>0</v>
      </c>
      <c r="O48" s="718">
        <f>+landbouw!N12</f>
        <v>0</v>
      </c>
      <c r="P48" s="718">
        <f>+landbouw!O12</f>
        <v>0</v>
      </c>
      <c r="Q48" s="719">
        <f>+landbouw!P12</f>
        <v>0</v>
      </c>
      <c r="R48" s="761">
        <f ca="1">SUM(C48:Q48)</f>
        <v>21297.260722731284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18816.219451651883</v>
      </c>
      <c r="D53" s="773">
        <f t="shared" ref="D53:Q53" ca="1" si="6">D41+D46+D48</f>
        <v>19660.371428571434</v>
      </c>
      <c r="E53" s="773">
        <f t="shared" ca="1" si="6"/>
        <v>30967.954720429025</v>
      </c>
      <c r="F53" s="773">
        <f t="shared" si="6"/>
        <v>682.19454318736666</v>
      </c>
      <c r="G53" s="773">
        <f t="shared" ca="1" si="6"/>
        <v>5232.2557845489955</v>
      </c>
      <c r="H53" s="773">
        <f t="shared" si="6"/>
        <v>58637.873015295343</v>
      </c>
      <c r="I53" s="773">
        <f t="shared" si="6"/>
        <v>10286.538467223569</v>
      </c>
      <c r="J53" s="773">
        <f t="shared" si="6"/>
        <v>0</v>
      </c>
      <c r="K53" s="773">
        <f t="shared" si="6"/>
        <v>69.688758695118395</v>
      </c>
      <c r="L53" s="773">
        <f t="shared" si="6"/>
        <v>0</v>
      </c>
      <c r="M53" s="773">
        <f t="shared" ca="1" si="6"/>
        <v>0</v>
      </c>
      <c r="N53" s="773">
        <f t="shared" si="6"/>
        <v>0</v>
      </c>
      <c r="O53" s="773">
        <f t="shared" ca="1" si="6"/>
        <v>0</v>
      </c>
      <c r="P53" s="773">
        <f>P41+P46+P48</f>
        <v>0</v>
      </c>
      <c r="Q53" s="774">
        <f t="shared" si="6"/>
        <v>0</v>
      </c>
      <c r="R53" s="775">
        <f ca="1">R41+R46+R48</f>
        <v>144353.09616960271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0.22072948211650667</v>
      </c>
      <c r="D55" s="836">
        <f t="shared" ca="1" si="7"/>
        <v>0.23754261439947602</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4441.0531657073452</v>
      </c>
      <c r="C66" s="795">
        <f>'lokale energieproductie'!B6</f>
        <v>4441.0531657073452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57935.962500000001</v>
      </c>
      <c r="C67" s="794">
        <f>B67*IFERROR(SUM(J67:L67)/SUM(D67:M67),0)</f>
        <v>25.462499999999995</v>
      </c>
      <c r="D67" s="826">
        <f>'lokale energieproductie'!C7</f>
        <v>68130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29.95588235294117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13762.26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62377.015665707346</v>
      </c>
      <c r="C69" s="803">
        <f>SUM(C64:C68)</f>
        <v>4466.5156657073449</v>
      </c>
      <c r="D69" s="804">
        <f t="shared" ref="D69:M69" si="8">SUM(D67:D68)</f>
        <v>68130</v>
      </c>
      <c r="E69" s="804">
        <f t="shared" si="8"/>
        <v>0</v>
      </c>
      <c r="F69" s="804">
        <f t="shared" si="8"/>
        <v>0</v>
      </c>
      <c r="G69" s="804">
        <f t="shared" si="8"/>
        <v>0</v>
      </c>
      <c r="H69" s="804">
        <f t="shared" si="8"/>
        <v>0</v>
      </c>
      <c r="I69" s="804">
        <f t="shared" si="8"/>
        <v>0</v>
      </c>
      <c r="J69" s="804">
        <f t="shared" si="8"/>
        <v>0</v>
      </c>
      <c r="K69" s="804">
        <f t="shared" si="8"/>
        <v>29.95588235294117</v>
      </c>
      <c r="L69" s="804">
        <f t="shared" si="8"/>
        <v>0</v>
      </c>
      <c r="M69" s="930">
        <f t="shared" si="8"/>
        <v>0</v>
      </c>
      <c r="N69" s="805">
        <v>0</v>
      </c>
      <c r="O69" s="805">
        <f>SUM(O67:O68)</f>
        <v>13762.26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82765.660714285725</v>
      </c>
      <c r="C78" s="817">
        <f>B78*IFERROR(SUM(I78:L78)/SUM(D78:M78),0)</f>
        <v>36.374999999999993</v>
      </c>
      <c r="D78" s="832">
        <f>'lokale energieproductie'!C16</f>
        <v>97328.571428571449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42.794117647058819</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19660.371428571434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82765.660714285725</v>
      </c>
      <c r="C81" s="803">
        <f>SUM(C78:C80)</f>
        <v>36.374999999999993</v>
      </c>
      <c r="D81" s="803">
        <f t="shared" ref="D81:P81" si="9">SUM(D78:D80)</f>
        <v>97328.571428571449</v>
      </c>
      <c r="E81" s="803">
        <f t="shared" si="9"/>
        <v>0</v>
      </c>
      <c r="F81" s="803">
        <f t="shared" si="9"/>
        <v>0</v>
      </c>
      <c r="G81" s="803">
        <f t="shared" si="9"/>
        <v>0</v>
      </c>
      <c r="H81" s="803">
        <f t="shared" si="9"/>
        <v>0</v>
      </c>
      <c r="I81" s="803">
        <f t="shared" si="9"/>
        <v>0</v>
      </c>
      <c r="J81" s="803">
        <f t="shared" si="9"/>
        <v>0</v>
      </c>
      <c r="K81" s="803">
        <f t="shared" si="9"/>
        <v>42.794117647058819</v>
      </c>
      <c r="L81" s="803">
        <f t="shared" si="9"/>
        <v>0</v>
      </c>
      <c r="M81" s="803">
        <f t="shared" si="9"/>
        <v>0</v>
      </c>
      <c r="N81" s="803">
        <v>0</v>
      </c>
      <c r="O81" s="803">
        <f>SUM(O78:O80)</f>
        <v>19660.371428571434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26233.679767049482</v>
      </c>
      <c r="C4" s="478">
        <f>huishoudens!C8</f>
        <v>0</v>
      </c>
      <c r="D4" s="478">
        <f>huishoudens!D8</f>
        <v>71614.183336213871</v>
      </c>
      <c r="E4" s="478">
        <f>huishoudens!E8</f>
        <v>1054.3041052498124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5688.9343304714257</v>
      </c>
      <c r="O4" s="478">
        <f>huishoudens!O8</f>
        <v>162.58666666666667</v>
      </c>
      <c r="P4" s="479">
        <f>huishoudens!P8</f>
        <v>724.5333333333333</v>
      </c>
      <c r="Q4" s="480">
        <f>SUM(B4:P4)</f>
        <v>105478.22153898461</v>
      </c>
    </row>
    <row r="5" spans="1:17">
      <c r="A5" s="477" t="s">
        <v>156</v>
      </c>
      <c r="B5" s="478">
        <f ca="1">tertiair!B16</f>
        <v>39025.23533856625</v>
      </c>
      <c r="C5" s="478">
        <f ca="1">tertiair!C16</f>
        <v>0</v>
      </c>
      <c r="D5" s="478">
        <f ca="1">tertiair!D16</f>
        <v>27132.430036046393</v>
      </c>
      <c r="E5" s="478">
        <f>tertiair!E16</f>
        <v>390.93843750438054</v>
      </c>
      <c r="F5" s="478">
        <f ca="1">tertiair!F16</f>
        <v>7944.9941055881754</v>
      </c>
      <c r="G5" s="478">
        <f>tertiair!G16</f>
        <v>0</v>
      </c>
      <c r="H5" s="478">
        <f>tertiair!H16</f>
        <v>0</v>
      </c>
      <c r="I5" s="478">
        <f>tertiair!I16</f>
        <v>0</v>
      </c>
      <c r="J5" s="478">
        <f>tertiair!J16</f>
        <v>0.33844413620042307</v>
      </c>
      <c r="K5" s="478">
        <f>tertiair!K16</f>
        <v>0</v>
      </c>
      <c r="L5" s="478">
        <f ca="1">tertiair!L16</f>
        <v>0</v>
      </c>
      <c r="M5" s="478">
        <f>tertiair!M16</f>
        <v>0</v>
      </c>
      <c r="N5" s="478">
        <f ca="1">tertiair!N16</f>
        <v>13336.823480677105</v>
      </c>
      <c r="O5" s="478">
        <f>tertiair!O16</f>
        <v>0</v>
      </c>
      <c r="P5" s="479">
        <f>tertiair!P16</f>
        <v>19.066666666666666</v>
      </c>
      <c r="Q5" s="477">
        <f t="shared" ref="Q5:Q13" ca="1" si="0">SUM(B5:P5)</f>
        <v>87849.826509185164</v>
      </c>
    </row>
    <row r="6" spans="1:17">
      <c r="A6" s="477" t="s">
        <v>194</v>
      </c>
      <c r="B6" s="478">
        <f>'openbare verlichting'!B8</f>
        <v>1083.847</v>
      </c>
      <c r="C6" s="478"/>
      <c r="D6" s="478"/>
      <c r="E6" s="478"/>
      <c r="F6" s="478"/>
      <c r="G6" s="478"/>
      <c r="H6" s="478"/>
      <c r="I6" s="478"/>
      <c r="J6" s="478"/>
      <c r="K6" s="478"/>
      <c r="L6" s="478"/>
      <c r="M6" s="478"/>
      <c r="N6" s="478"/>
      <c r="O6" s="478"/>
      <c r="P6" s="479"/>
      <c r="Q6" s="477">
        <f t="shared" si="0"/>
        <v>1083.847</v>
      </c>
    </row>
    <row r="7" spans="1:17">
      <c r="A7" s="477" t="s">
        <v>112</v>
      </c>
      <c r="B7" s="478">
        <f>landbouw!B8</f>
        <v>1176.774750035139</v>
      </c>
      <c r="C7" s="478">
        <f>landbouw!C8</f>
        <v>82765.660714285725</v>
      </c>
      <c r="D7" s="478">
        <f>landbouw!D8</f>
        <v>0</v>
      </c>
      <c r="E7" s="478">
        <f>landbouw!E8</f>
        <v>34.589004188477098</v>
      </c>
      <c r="F7" s="478">
        <f>landbouw!F8</f>
        <v>4902.3800190765651</v>
      </c>
      <c r="G7" s="478">
        <f>landbouw!G8</f>
        <v>0</v>
      </c>
      <c r="H7" s="478">
        <f>landbouw!H8</f>
        <v>0</v>
      </c>
      <c r="I7" s="478">
        <f>landbouw!I8</f>
        <v>0</v>
      </c>
      <c r="J7" s="478">
        <f>landbouw!J8</f>
        <v>170.4893897530543</v>
      </c>
      <c r="K7" s="478">
        <f>landbouw!K8</f>
        <v>0</v>
      </c>
      <c r="L7" s="478">
        <f>landbouw!L8</f>
        <v>0</v>
      </c>
      <c r="M7" s="478">
        <f>landbouw!M8</f>
        <v>0</v>
      </c>
      <c r="N7" s="478">
        <f>landbouw!N8</f>
        <v>0</v>
      </c>
      <c r="O7" s="478">
        <f>landbouw!O8</f>
        <v>0</v>
      </c>
      <c r="P7" s="479">
        <f>landbouw!P8</f>
        <v>0</v>
      </c>
      <c r="Q7" s="477">
        <f t="shared" si="0"/>
        <v>89049.893877338953</v>
      </c>
    </row>
    <row r="8" spans="1:17">
      <c r="A8" s="477" t="s">
        <v>635</v>
      </c>
      <c r="B8" s="478">
        <f>industrie!B18</f>
        <v>17612.986007180378</v>
      </c>
      <c r="C8" s="478">
        <f>industrie!C18</f>
        <v>0</v>
      </c>
      <c r="D8" s="478">
        <f>industrie!D18</f>
        <v>54204.354753791071</v>
      </c>
      <c r="E8" s="478">
        <f>industrie!E18</f>
        <v>978.36199007472669</v>
      </c>
      <c r="F8" s="478">
        <f>industrie!F18</f>
        <v>6749.089487878311</v>
      </c>
      <c r="G8" s="478">
        <f>industrie!G18</f>
        <v>0</v>
      </c>
      <c r="H8" s="478">
        <f>industrie!H18</f>
        <v>0</v>
      </c>
      <c r="I8" s="478">
        <f>industrie!I18</f>
        <v>0</v>
      </c>
      <c r="J8" s="478">
        <f>industrie!J18</f>
        <v>26.03306637944134</v>
      </c>
      <c r="K8" s="478">
        <f>industrie!K18</f>
        <v>0</v>
      </c>
      <c r="L8" s="478">
        <f>industrie!L18</f>
        <v>0</v>
      </c>
      <c r="M8" s="478">
        <f>industrie!M18</f>
        <v>0</v>
      </c>
      <c r="N8" s="478">
        <f>industrie!N18</f>
        <v>4003.1555229763112</v>
      </c>
      <c r="O8" s="478">
        <f>industrie!O18</f>
        <v>0</v>
      </c>
      <c r="P8" s="479">
        <f>industrie!P18</f>
        <v>0</v>
      </c>
      <c r="Q8" s="477">
        <f t="shared" si="0"/>
        <v>83573.980828280255</v>
      </c>
    </row>
    <row r="9" spans="1:17" s="483" customFormat="1">
      <c r="A9" s="481" t="s">
        <v>561</v>
      </c>
      <c r="B9" s="482">
        <f>transport!B14</f>
        <v>113.08760673077045</v>
      </c>
      <c r="C9" s="482">
        <f>transport!C14</f>
        <v>0</v>
      </c>
      <c r="D9" s="482">
        <f>transport!D14</f>
        <v>355.73841072599851</v>
      </c>
      <c r="E9" s="482">
        <f>transport!E14</f>
        <v>547.06876777276432</v>
      </c>
      <c r="F9" s="482">
        <f>transport!F14</f>
        <v>0</v>
      </c>
      <c r="G9" s="482">
        <f>transport!G14</f>
        <v>217595.99964046749</v>
      </c>
      <c r="H9" s="482">
        <f>transport!H14</f>
        <v>41311.399466761322</v>
      </c>
      <c r="I9" s="482">
        <f>transport!I14</f>
        <v>0</v>
      </c>
      <c r="J9" s="482">
        <f>transport!J14</f>
        <v>0</v>
      </c>
      <c r="K9" s="482">
        <f>transport!K14</f>
        <v>0</v>
      </c>
      <c r="L9" s="482">
        <f>transport!L14</f>
        <v>0</v>
      </c>
      <c r="M9" s="482">
        <f>transport!M14</f>
        <v>13939.33761177732</v>
      </c>
      <c r="N9" s="482">
        <f>transport!N14</f>
        <v>0</v>
      </c>
      <c r="O9" s="482">
        <f>transport!O14</f>
        <v>0</v>
      </c>
      <c r="P9" s="482">
        <f>transport!P14</f>
        <v>0</v>
      </c>
      <c r="Q9" s="481">
        <f>SUM(B9:P9)</f>
        <v>273862.63150423567</v>
      </c>
    </row>
    <row r="10" spans="1:17">
      <c r="A10" s="477" t="s">
        <v>551</v>
      </c>
      <c r="B10" s="478">
        <f>transport!B54</f>
        <v>0</v>
      </c>
      <c r="C10" s="478">
        <f>transport!C54</f>
        <v>0</v>
      </c>
      <c r="D10" s="478">
        <f>transport!D54</f>
        <v>0</v>
      </c>
      <c r="E10" s="478">
        <f>transport!E54</f>
        <v>0</v>
      </c>
      <c r="F10" s="478">
        <f>transport!F54</f>
        <v>0</v>
      </c>
      <c r="G10" s="478">
        <f>transport!G54</f>
        <v>2021.5022894775841</v>
      </c>
      <c r="H10" s="478">
        <f>transport!H54</f>
        <v>0</v>
      </c>
      <c r="I10" s="478">
        <f>transport!I54</f>
        <v>0</v>
      </c>
      <c r="J10" s="478">
        <f>transport!J54</f>
        <v>0</v>
      </c>
      <c r="K10" s="478">
        <f>transport!K54</f>
        <v>0</v>
      </c>
      <c r="L10" s="478">
        <f>transport!L54</f>
        <v>0</v>
      </c>
      <c r="M10" s="478">
        <f>transport!M54</f>
        <v>114.81240596605831</v>
      </c>
      <c r="N10" s="478">
        <f>transport!N54</f>
        <v>0</v>
      </c>
      <c r="O10" s="478">
        <f>transport!O54</f>
        <v>0</v>
      </c>
      <c r="P10" s="479">
        <f>transport!P54</f>
        <v>0</v>
      </c>
      <c r="Q10" s="477">
        <f t="shared" si="0"/>
        <v>2136.3146954436424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85245.610469562016</v>
      </c>
      <c r="C14" s="488">
        <f t="shared" ref="C14:Q14" ca="1" si="1">SUM(C4:C13)</f>
        <v>82765.660714285725</v>
      </c>
      <c r="D14" s="488">
        <f t="shared" ca="1" si="1"/>
        <v>153306.70653677732</v>
      </c>
      <c r="E14" s="488">
        <f t="shared" si="1"/>
        <v>3005.2623047901611</v>
      </c>
      <c r="F14" s="488">
        <f t="shared" ca="1" si="1"/>
        <v>19596.463612543052</v>
      </c>
      <c r="G14" s="488">
        <f t="shared" si="1"/>
        <v>219617.50192994508</v>
      </c>
      <c r="H14" s="488">
        <f t="shared" si="1"/>
        <v>41311.399466761322</v>
      </c>
      <c r="I14" s="488">
        <f t="shared" si="1"/>
        <v>0</v>
      </c>
      <c r="J14" s="488">
        <f t="shared" si="1"/>
        <v>196.86090026869607</v>
      </c>
      <c r="K14" s="488">
        <f t="shared" si="1"/>
        <v>0</v>
      </c>
      <c r="L14" s="488">
        <f t="shared" ca="1" si="1"/>
        <v>0</v>
      </c>
      <c r="M14" s="488">
        <f t="shared" si="1"/>
        <v>14054.150017743379</v>
      </c>
      <c r="N14" s="488">
        <f t="shared" ca="1" si="1"/>
        <v>23028.913334124842</v>
      </c>
      <c r="O14" s="488">
        <f t="shared" si="1"/>
        <v>162.58666666666667</v>
      </c>
      <c r="P14" s="489">
        <f t="shared" si="1"/>
        <v>743.6</v>
      </c>
      <c r="Q14" s="489">
        <f t="shared" ca="1" si="1"/>
        <v>643034.71595346823</v>
      </c>
    </row>
    <row r="16" spans="1:17">
      <c r="A16" s="491" t="s">
        <v>556</v>
      </c>
      <c r="B16" s="841">
        <f ca="1">huishoudens!B10</f>
        <v>0.22072948211650667</v>
      </c>
      <c r="C16" s="841">
        <f ca="1">huishoudens!C10</f>
        <v>0.23754261439947602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5790.5465489911112</v>
      </c>
      <c r="C21" s="478">
        <f t="shared" ref="C21:C30" ca="1" si="3">C4*$C$16</f>
        <v>0</v>
      </c>
      <c r="D21" s="478">
        <f t="shared" ref="D21:D30" si="4">D4*$D$16</f>
        <v>14466.065033915203</v>
      </c>
      <c r="E21" s="478">
        <f t="shared" ref="E21:E30" si="5">E4*$E$16</f>
        <v>239.32703189170743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20495.938614798019</v>
      </c>
    </row>
    <row r="22" spans="1:17">
      <c r="A22" s="477" t="s">
        <v>156</v>
      </c>
      <c r="B22" s="478">
        <f t="shared" ca="1" si="2"/>
        <v>8614.019985756524</v>
      </c>
      <c r="C22" s="478">
        <f t="shared" ca="1" si="3"/>
        <v>0</v>
      </c>
      <c r="D22" s="478">
        <f t="shared" ca="1" si="4"/>
        <v>5480.7508672813719</v>
      </c>
      <c r="E22" s="478">
        <f t="shared" si="5"/>
        <v>88.743025313494385</v>
      </c>
      <c r="F22" s="478">
        <f t="shared" ca="1" si="6"/>
        <v>2121.3134261920432</v>
      </c>
      <c r="G22" s="478">
        <f t="shared" si="7"/>
        <v>0</v>
      </c>
      <c r="H22" s="478">
        <f t="shared" si="8"/>
        <v>0</v>
      </c>
      <c r="I22" s="478">
        <f t="shared" si="9"/>
        <v>0</v>
      </c>
      <c r="J22" s="478">
        <f t="shared" si="10"/>
        <v>0.11980922421494976</v>
      </c>
      <c r="K22" s="478">
        <f t="shared" si="11"/>
        <v>0</v>
      </c>
      <c r="L22" s="478">
        <f t="shared" ca="1" si="12"/>
        <v>0</v>
      </c>
      <c r="M22" s="478">
        <f t="shared" si="13"/>
        <v>0</v>
      </c>
      <c r="N22" s="478">
        <f t="shared" ca="1" si="14"/>
        <v>0</v>
      </c>
      <c r="O22" s="478">
        <f t="shared" si="15"/>
        <v>0</v>
      </c>
      <c r="P22" s="479">
        <f t="shared" si="16"/>
        <v>0</v>
      </c>
      <c r="Q22" s="477">
        <f t="shared" ref="Q22:Q30" ca="1" si="17">SUM(B22:P22)</f>
        <v>16304.947113767648</v>
      </c>
    </row>
    <row r="23" spans="1:17">
      <c r="A23" s="477" t="s">
        <v>194</v>
      </c>
      <c r="B23" s="478">
        <f t="shared" ca="1" si="2"/>
        <v>239.23698700352941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239.23698700352941</v>
      </c>
    </row>
    <row r="24" spans="1:17">
      <c r="A24" s="477" t="s">
        <v>112</v>
      </c>
      <c r="B24" s="478">
        <f t="shared" ca="1" si="2"/>
        <v>259.74888114303781</v>
      </c>
      <c r="C24" s="478">
        <f t="shared" ca="1" si="3"/>
        <v>19660.371428571434</v>
      </c>
      <c r="D24" s="478">
        <f t="shared" si="4"/>
        <v>0</v>
      </c>
      <c r="E24" s="478">
        <f t="shared" si="5"/>
        <v>7.8517039507843016</v>
      </c>
      <c r="F24" s="478">
        <f t="shared" si="6"/>
        <v>1308.9354650934429</v>
      </c>
      <c r="G24" s="478">
        <f t="shared" si="7"/>
        <v>0</v>
      </c>
      <c r="H24" s="478">
        <f t="shared" si="8"/>
        <v>0</v>
      </c>
      <c r="I24" s="478">
        <f t="shared" si="9"/>
        <v>0</v>
      </c>
      <c r="J24" s="478">
        <f t="shared" si="10"/>
        <v>60.353243972581218</v>
      </c>
      <c r="K24" s="478">
        <f t="shared" si="11"/>
        <v>0</v>
      </c>
      <c r="L24" s="478">
        <f t="shared" si="12"/>
        <v>0</v>
      </c>
      <c r="M24" s="478">
        <f t="shared" si="13"/>
        <v>0</v>
      </c>
      <c r="N24" s="478">
        <f t="shared" si="14"/>
        <v>0</v>
      </c>
      <c r="O24" s="478">
        <f t="shared" si="15"/>
        <v>0</v>
      </c>
      <c r="P24" s="479">
        <f t="shared" si="16"/>
        <v>0</v>
      </c>
      <c r="Q24" s="477">
        <f t="shared" ca="1" si="17"/>
        <v>21297.260722731284</v>
      </c>
    </row>
    <row r="25" spans="1:17">
      <c r="A25" s="477" t="s">
        <v>635</v>
      </c>
      <c r="B25" s="478">
        <f t="shared" ca="1" si="2"/>
        <v>3887.7052798902032</v>
      </c>
      <c r="C25" s="478">
        <f t="shared" ca="1" si="3"/>
        <v>0</v>
      </c>
      <c r="D25" s="478">
        <f t="shared" si="4"/>
        <v>10949.279660265796</v>
      </c>
      <c r="E25" s="478">
        <f t="shared" si="5"/>
        <v>222.08817174696296</v>
      </c>
      <c r="F25" s="478">
        <f t="shared" si="6"/>
        <v>1802.0068932635093</v>
      </c>
      <c r="G25" s="478">
        <f t="shared" si="7"/>
        <v>0</v>
      </c>
      <c r="H25" s="478">
        <f t="shared" si="8"/>
        <v>0</v>
      </c>
      <c r="I25" s="478">
        <f t="shared" si="9"/>
        <v>0</v>
      </c>
      <c r="J25" s="478">
        <f t="shared" si="10"/>
        <v>9.2157054983222348</v>
      </c>
      <c r="K25" s="478">
        <f t="shared" si="11"/>
        <v>0</v>
      </c>
      <c r="L25" s="478">
        <f t="shared" si="12"/>
        <v>0</v>
      </c>
      <c r="M25" s="478">
        <f t="shared" si="13"/>
        <v>0</v>
      </c>
      <c r="N25" s="478">
        <f t="shared" si="14"/>
        <v>0</v>
      </c>
      <c r="O25" s="478">
        <f t="shared" si="15"/>
        <v>0</v>
      </c>
      <c r="P25" s="479">
        <f t="shared" si="16"/>
        <v>0</v>
      </c>
      <c r="Q25" s="477">
        <f t="shared" ca="1" si="17"/>
        <v>16870.295710664792</v>
      </c>
    </row>
    <row r="26" spans="1:17" s="483" customFormat="1">
      <c r="A26" s="481" t="s">
        <v>561</v>
      </c>
      <c r="B26" s="835">
        <f t="shared" ca="1" si="2"/>
        <v>24.961768867478135</v>
      </c>
      <c r="C26" s="482">
        <f t="shared" ca="1" si="3"/>
        <v>0</v>
      </c>
      <c r="D26" s="482">
        <f t="shared" si="4"/>
        <v>71.859158966651705</v>
      </c>
      <c r="E26" s="482">
        <f t="shared" si="5"/>
        <v>124.1846102844175</v>
      </c>
      <c r="F26" s="482">
        <f t="shared" si="6"/>
        <v>0</v>
      </c>
      <c r="G26" s="482">
        <f t="shared" si="7"/>
        <v>58098.131904004826</v>
      </c>
      <c r="H26" s="482">
        <f t="shared" si="8"/>
        <v>10286.538467223569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68605.675909346945</v>
      </c>
    </row>
    <row r="27" spans="1:17">
      <c r="A27" s="477" t="s">
        <v>551</v>
      </c>
      <c r="B27" s="478">
        <f t="shared" ca="1" si="2"/>
        <v>0</v>
      </c>
      <c r="C27" s="478">
        <f t="shared" ca="1" si="3"/>
        <v>0</v>
      </c>
      <c r="D27" s="478">
        <f t="shared" si="4"/>
        <v>0</v>
      </c>
      <c r="E27" s="478">
        <f t="shared" si="5"/>
        <v>0</v>
      </c>
      <c r="F27" s="478">
        <f t="shared" si="6"/>
        <v>0</v>
      </c>
      <c r="G27" s="478">
        <f t="shared" si="7"/>
        <v>539.74111129051494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539.74111129051494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18816.219451651883</v>
      </c>
      <c r="C31" s="488">
        <f t="shared" ca="1" si="18"/>
        <v>19660.371428571434</v>
      </c>
      <c r="D31" s="488">
        <f t="shared" ca="1" si="18"/>
        <v>30967.954720429025</v>
      </c>
      <c r="E31" s="488">
        <f t="shared" si="18"/>
        <v>682.19454318736666</v>
      </c>
      <c r="F31" s="488">
        <f t="shared" ca="1" si="18"/>
        <v>5232.2557845489955</v>
      </c>
      <c r="G31" s="488">
        <f t="shared" si="18"/>
        <v>58637.873015295343</v>
      </c>
      <c r="H31" s="488">
        <f t="shared" si="18"/>
        <v>10286.538467223569</v>
      </c>
      <c r="I31" s="488">
        <f t="shared" si="18"/>
        <v>0</v>
      </c>
      <c r="J31" s="488">
        <f t="shared" si="18"/>
        <v>69.688758695118395</v>
      </c>
      <c r="K31" s="488">
        <f t="shared" si="18"/>
        <v>0</v>
      </c>
      <c r="L31" s="488">
        <f t="shared" ca="1" si="18"/>
        <v>0</v>
      </c>
      <c r="M31" s="488">
        <f t="shared" si="18"/>
        <v>0</v>
      </c>
      <c r="N31" s="488">
        <f t="shared" ca="1" si="18"/>
        <v>0</v>
      </c>
      <c r="O31" s="488">
        <f t="shared" si="18"/>
        <v>0</v>
      </c>
      <c r="P31" s="489">
        <f t="shared" si="18"/>
        <v>0</v>
      </c>
      <c r="Q31" s="489">
        <f t="shared" ca="1" si="18"/>
        <v>144353.09616960277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0.22072948211650667</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0.22072948211650667</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0.22072948211650667</v>
      </c>
      <c r="C29" s="529">
        <f ca="1">'EF ele_warmte'!B22</f>
        <v>0.23754261439947602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2018-09-06T12:45:53Z</dcterms:modified>
</cp:coreProperties>
</file>