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7" i="48"/>
  <c r="C31" s="1"/>
  <c r="C2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<sst xmlns="http://schemas.openxmlformats.org/spreadsheetml/2006/main" count="1923" uniqueCount="815">
  <si>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</si>
  <si>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</si>
  <si>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</si>
  <si>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</si>
  <si>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</si>
  <si>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</si>
  <si>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</si>
  <si>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</si>
  <si>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</si>
  <si>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</si>
  <si>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</si>
  <si>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</si>
  <si>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</si>
  <si>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</si>
  <si>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</si>
  <si>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</si>
  <si>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</si>
  <si>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</si>
  <si>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</si>
  <si>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</si>
  <si>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</si>
  <si>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</si>
  <si>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</si>
  <si>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</si>
  <si>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</si>
  <si>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</si>
  <si>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</si>
  <si>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</si>
  <si>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</si>
  <si>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</si>
  <si>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</si>
  <si>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</si>
  <si>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</si>
  <si>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</si>
  <si>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</si>
  <si>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</si>
  <si>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</si>
  <si>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</si>
  <si>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</si>
  <si>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</si>
  <si>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</si>
  <si>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</si>
  <si>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</si>
  <si>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</si>
  <si>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</si>
  <si>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</si>
  <si>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</si>
  <si>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</si>
  <si>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</si>
  <si>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</si>
  <si>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</si>
  <si>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</si>
  <si>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</si>
  <si>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</si>
  <si>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</si>
  <si>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</si>
  <si>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</si>
  <si>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</si>
  <si>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</si>
  <si>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</si>
  <si>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</si>
  <si>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</si>
  <si>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</si>
  <si>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</si>
  <si>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</si>
  <si>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</si>
  <si>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</si>
  <si>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</si>
  <si>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</si>
  <si>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</si>
  <si>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</si>
  <si>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</si>
  <si>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</si>
  <si>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</si>
  <si>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</si>
  <si>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</si>
  <si>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</si>
  <si>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</si>
  <si>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</si>
  <si>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</si>
  <si>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</si>
  <si>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</si>
  <si>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</si>
  <si>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</si>
  <si>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</si>
  <si>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</si>
  <si>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</si>
  <si>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</si>
  <si>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</si>
  <si>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</si>
  <si>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</si>
  <si>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</si>
  <si>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</si>
  <si>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</si>
  <si>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</si>
  <si>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</si>
  <si>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</si>
  <si>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</si>
  <si>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</si>
  <si>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</si>
  <si>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</si>
  <si>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</si>
  <si>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</si>
  <si>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</si>
  <si>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</si>
  <si>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</si>
  <si>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</si>
  <si>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</si>
  <si>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</si>
  <si>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</si>
  <si>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</si>
  <si>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</si>
  <si>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</si>
  <si>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</si>
  <si>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</si>
  <si>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</si>
  <si>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</si>
  <si>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</si>
  <si>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</si>
  <si>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</si>
  <si>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</si>
  <si>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</si>
  <si>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</si>
  <si>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</si>
  <si>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</si>
  <si>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</si>
  <si>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</si>
  <si>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</si>
  <si>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</si>
  <si>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</si>
  <si>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</si>
  <si>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</si>
  <si>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</si>
  <si>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</si>
  <si>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</si>
  <si>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</si>
  <si>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</si>
  <si>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</si>
  <si>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</si>
  <si>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</si>
  <si>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</si>
  <si>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</si>
  <si>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</si>
  <si>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</si>
  <si>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</si>
  <si>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</si>
  <si>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</si>
  <si>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</si>
  <si>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</si>
  <si>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</si>
  <si>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</si>
  <si>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</si>
  <si>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</si>
  <si>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</si>
  <si>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</si>
  <si>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</si>
  <si>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</si>
  <si>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</si>
  <si>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</si>
  <si>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</si>
  <si>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</si>
  <si>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</si>
  <si>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</si>
  <si>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</si>
  <si>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</si>
  <si>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</si>
  <si>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</si>
  <si>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</si>
  <si>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</si>
  <si>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</si>
  <si>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</si>
  <si>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</si>
  <si>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</si>
  <si>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</si>
  <si>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</si>
  <si>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</si>
  <si>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</si>
  <si>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</si>
  <si>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</si>
  <si>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</si>
  <si>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</si>
  <si>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</si>
  <si>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</si>
  <si>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</si>
  <si>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</si>
  <si>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</si>
  <si>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</si>
  <si>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</si>
  <si>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</si>
  <si>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</si>
  <si>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</si>
  <si>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</si>
  <si>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</si>
  <si>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</si>
  <si>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</si>
  <si>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</si>
  <si>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</si>
  <si>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</si>
  <si>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</si>
  <si>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</si>
  <si>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</si>
  <si>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</si>
  <si>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</si>
  <si>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</si>
  <si>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</si>
  <si>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</si>
  <si>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</si>
  <si>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</si>
  <si>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</si>
  <si>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</si>
  <si>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</si>
  <si>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</si>
  <si>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</si>
  <si>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</si>
  <si>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</si>
  <si>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</si>
  <si>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</si>
  <si>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</si>
  <si>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</si>
  <si>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</si>
  <si>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</si>
  <si>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</si>
  <si>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</si>
  <si>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</si>
  <si>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</si>
  <si>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</si>
  <si>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</si>
  <si>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</si>
  <si>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</si>
  <si>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</si>
  <si>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</si>
  <si>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</si>
  <si>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</si>
  <si>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</si>
  <si>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</si>
  <si>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</si>
  <si>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</si>
  <si>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</si>
  <si>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</si>
  <si>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</si>
  <si>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</si>
  <si>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</si>
  <si>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</si>
  <si>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</si>
  <si>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</si>
  <si>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</si>
  <si>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</si>
  <si>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</si>
  <si>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</si>
  <si>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</si>
  <si>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</si>
  <si>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</si>
  <si>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</si>
  <si>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</si>
  <si>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</si>
  <si>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</si>
  <si>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</si>
  <si>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</si>
  <si>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</si>
  <si>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</si>
  <si>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</si>
  <si>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</si>
  <si>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</si>
  <si>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</si>
  <si>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</si>
  <si>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</si>
  <si>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</si>
  <si>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</si>
  <si>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</si>
  <si>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</si>
  <si>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</si>
  <si>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</si>
  <si>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</si>
  <si>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</si>
  <si>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</si>
  <si>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</si>
  <si>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</si>
  <si>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</si>
  <si>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</si>
  <si>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</si>
  <si>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</si>
  <si>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</si>
  <si>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</si>
  <si>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</si>
  <si>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</si>
  <si>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</si>
  <si>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</si>
  <si>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</si>
  <si>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</si>
  <si>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</si>
  <si>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</si>
  <si>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</si>
  <si>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</si>
  <si>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</si>
  <si>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</si>
  <si>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</si>
  <si>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</si>
  <si>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</si>
  <si>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</si>
  <si>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</si>
  <si>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</si>
  <si>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</si>
  <si>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</si>
  <si>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</si>
  <si>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</si>
  <si>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</si>
  <si>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</si>
  <si>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</si>
  <si>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</si>
  <si>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</si>
  <si>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</si>
  <si>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</si>
  <si>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</si>
  <si>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</si>
  <si>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</si>
  <si>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</si>
  <si>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</si>
  <si>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</si>
  <si>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</si>
  <si>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</si>
  <si>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</si>
  <si>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</si>
  <si>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</si>
  <si>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</si>
  <si>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</si>
  <si>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</si>
  <si>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</si>
  <si>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</si>
  <si>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</si>
  <si>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</si>
  <si>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</si>
  <si>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</si>
  <si>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</si>
  <si>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</si>
  <si>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</si>
  <si>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</si>
  <si>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</si>
  <si>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</si>
  <si>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</si>
  <si>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</si>
  <si>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</si>
  <si>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</si>
  <si>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</si>
  <si>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</si>
  <si>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</si>
  <si>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</si>
  <si>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</si>
  <si>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</si>
  <si>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</si>
  <si>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</si>
  <si>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</si>
  <si>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</si>
  <si>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</si>
  <si>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</si>
  <si>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</si>
  <si>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</si>
  <si>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</si>
  <si>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</si>
  <si>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</si>
  <si>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</si>
  <si>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</si>
  <si>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</si>
  <si>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</si>
  <si>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</si>
  <si>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</si>
  <si>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</si>
  <si>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</si>
  <si>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</si>
  <si>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</si>
  <si>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</si>
  <si>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</si>
  <si>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</si>
  <si>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</si>
  <si>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</si>
  <si>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</si>
  <si>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</si>
  <si>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</si>
  <si>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</si>
  <si>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</si>
  <si>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</si>
  <si>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</si>
  <si>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</si>
  <si>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</si>
  <si>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</si>
  <si>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</si>
  <si>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</si>
  <si>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</si>
  <si>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</si>
  <si>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</si>
  <si>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</si>
  <si>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</si>
  <si>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</si>
  <si>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</si>
  <si>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</si>
  <si>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</si>
  <si>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</si>
  <si>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</si>
  <si>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</si>
  <si>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</si>
  <si>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</si>
  <si>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</si>
  <si>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</si>
  <si>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</si>
  <si>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</si>
  <si>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</si>
  <si>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</si>
  <si>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</si>
  <si>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</si>
  <si>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</si>
  <si>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</si>
  <si>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</si>
  <si>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</si>
  <si>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</si>
  <si>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</si>
  <si>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</si>
  <si>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</si>
  <si>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</si>
  <si>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</si>
  <si>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</si>
  <si>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</si>
  <si>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</si>
  <si>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</si>
  <si>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</si>
  <si>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</si>
  <si>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</si>
  <si>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</si>
  <si>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</si>
  <si>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</si>
  <si>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</si>
  <si>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</si>
  <si>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</si>
  <si>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</si>
  <si>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</si>
  <si>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</si>
  <si>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</si>
  <si>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</si>
  <si>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</si>
  <si>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</si>
  <si>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</si>
  <si>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</si>
  <si>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</si>
  <si>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</si>
  <si>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</si>
  <si>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</si>
  <si>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</si>
  <si>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</si>
  <si>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</si>
  <si>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</si>
  <si>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</si>
  <si>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</si>
  <si>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</si>
  <si>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</si>
  <si>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</si>
  <si>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</si>
  <si>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</si>
  <si>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</si>
  <si>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</si>
  <si>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</si>
  <si>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</si>
  <si>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</si>
  <si>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</si>
  <si>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</si>
  <si>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</si>
  <si>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</si>
  <si>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</si>
  <si>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</si>
  <si>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</si>
  <si>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</si>
  <si>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</si>
  <si>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</si>
  <si>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</si>
  <si>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</si>
  <si>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</si>
  <si>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</si>
  <si>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</si>
  <si>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</si>
  <si>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</si>
  <si>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</si>
  <si>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</si>
  <si>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</si>
  <si>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</si>
  <si>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</si>
  <si>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</si>
  <si>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</si>
  <si>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</si>
  <si>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</si>
  <si>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</si>
  <si>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</si>
  <si>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</si>
  <si>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</si>
  <si>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</si>
  <si>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</si>
  <si>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</si>
  <si>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</si>
  <si>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</si>
  <si>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</si>
  <si>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</si>
  <si>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</si>
  <si>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</si>
  <si>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</si>
  <si>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</si>
  <si>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</si>
  <si>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</si>
  <si>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</si>
  <si>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</si>
  <si>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</si>
  <si>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</si>
  <si>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</si>
  <si>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</si>
  <si>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</si>
  <si>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</si>
  <si>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</si>
  <si>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</si>
  <si>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</si>
  <si>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</si>
  <si>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</si>
  <si>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</si>
  <si>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</si>
  <si>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</si>
  <si>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</si>
  <si>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</si>
  <si>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</si>
  <si>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</si>
  <si>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</si>
  <si>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</si>
  <si>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</si>
  <si>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</si>
  <si>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</si>
  <si>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</si>
  <si>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</si>
  <si>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</si>
  <si>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</si>
  <si>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</si>
  <si>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</si>
  <si>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</si>
  <si>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</si>
  <si>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</si>
  <si>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</si>
  <si>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</si>
  <si>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</si>
  <si>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</si>
  <si>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</si>
  <si>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</si>
  <si>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</si>
  <si>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</si>
  <si>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</si>
  <si>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</si>
  <si>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</si>
  <si>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</si>
  <si>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</si>
  <si>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</si>
  <si>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</si>
  <si>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</si>
  <si>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</si>
  <si>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</si>
  <si>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</si>
  <si>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</si>
  <si>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</si>
  <si>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</si>
  <si>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</si>
  <si>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</si>
  <si>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</si>
  <si>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</si>
  <si>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</si>
  <si>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</si>
  <si>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</si>
  <si>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</si>
  <si>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</si>
  <si>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</si>
  <si>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</si>
  <si>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</si>
  <si>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</si>
  <si>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</si>
  <si>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</si>
  <si>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</si>
  <si>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</si>
  <si>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</si>
  <si>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</si>
  <si>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</si>
  <si>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</si>
  <si>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</si>
  <si>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</si>
  <si>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</si>
  <si>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</si>
  <si>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</si>
  <si>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</si>
  <si>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</si>
  <si>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</si>
  <si>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</si>
  <si>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</si>
  <si>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</si>
  <si>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</si>
  <si>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</si>
  <si>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</si>
  <si>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</si>
  <si>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</si>
  <si>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</si>
  <si>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</si>
  <si>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</si>
  <si>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</si>
  <si>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</si>
  <si>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</si>
  <si>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</si>
  <si>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</si>
  <si>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</si>
  <si>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</si>
  <si>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</si>
  <si>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</si>
  <si>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</si>
  <si>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</si>
  <si>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</si>
  <si>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</si>
  <si>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</si>
  <si>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</si>
  <si>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</si>
  <si>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</si>
  <si>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</si>
  <si>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</si>
  <si>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</si>
  <si>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</si>
  <si>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</si>
  <si>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</si>
  <si>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</si>
  <si>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</si>
  <si>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</si>
  <si>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</si>
  <si>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</si>
  <si>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</si>
  <si>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</si>
  <si>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</si>
  <si>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</si>
  <si>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</si>
  <si>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</si>
  <si>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</si>
  <si>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</si>
  <si>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</si>
  <si>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</si>
  <si>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</si>
  <si>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</si>
  <si>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</si>
  <si>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</si>
  <si>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</si>
  <si>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</si>
  <si>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</si>
  <si>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</si>
  <si>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</si>
  <si>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</si>
  <si>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</si>
  <si>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</si>
  <si>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</si>
  <si>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</si>
  <si>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</si>
  <si>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</si>
  <si>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</si>
  <si>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</si>
  <si>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</si>
  <si>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</si>
  <si>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</si>
  <si>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</si>
  <si>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</si>
  <si>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</si>
  <si>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</si>
  <si>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</si>
  <si>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</si>
  <si>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</si>
  <si>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</si>
  <si>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</si>
  <si>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</si>
  <si>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</si>
  <si>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</si>
  <si>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</si>
  <si>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</si>
  <si>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</si>
  <si>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</si>
  <si>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</si>
  <si>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</si>
  <si>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</si>
  <si>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</si>
  <si>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</si>
  <si>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</si>
  <si>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</si>
  <si>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</si>
  <si>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</si>
  <si>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</si>
  <si>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</si>
  <si>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</si>
  <si>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</si>
  <si>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</si>
  <si>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</si>
  <si>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</si>
  <si>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</si>
  <si>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</si>
  <si>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</si>
  <si>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</si>
  <si>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</si>
  <si>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</si>
  <si>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</si>
  <si>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</si>
  <si>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</si>
  <si>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</si>
  <si>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</si>
  <si>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</si>
  <si>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</si>
  <si>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</si>
  <si>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</si>
  <si>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</si>
  <si>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</si>
  <si>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</si>
  <si>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</si>
  <si>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</si>
  <si>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</si>
  <si>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</si>
  <si>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</si>
  <si>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</si>
  <si>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</si>
  <si>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</si>
  <si>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</si>
  <si>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</si>
  <si>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</si>
  <si>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</si>
  <si>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</si>
  <si>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</si>
  <si>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</si>
  <si>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</si>
  <si>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</si>
  <si>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</si>
  <si>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</si>
  <si>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</si>
  <si>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</si>
  <si>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</si>
  <si>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</si>
  <si>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</si>
  <si>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</si>
  <si>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</si>
  <si>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</si>
  <si>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</si>
  <si>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</si>
  <si>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</si>
  <si>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</si>
  <si>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</si>
  <si>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</si>
  <si>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</si>
  <si>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</si>
  <si>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</si>
  <si>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</si>
  <si>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</si>
  <si>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</si>
  <si>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</si>
  <si>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</si>
  <si>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</si>
  <si>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</si>
  <si>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</si>
  <si>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</si>
  <si>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</si>
  <si>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</si>
  <si>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</si>
  <si>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</si>
  <si>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</si>
  <si>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</si>
  <si>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</si>
  <si>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</si>
  <si>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</si>
  <si>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</si>
  <si>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</si>
  <si>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</si>
  <si>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</si>
  <si>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</si>
  <si>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</si>
  <si>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</si>
  <si>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</si>
  <si>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</si>
  <si>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</si>
  <si>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</si>
  <si>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</si>
  <si>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</si>
  <si>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</si>
  <si>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</si>
  <si>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</si>
  <si>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</si>
  <si>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</si>
  <si>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</si>
  <si>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</si>
  <si>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</si>
  <si>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</si>
  <si>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</si>
  <si>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</si>
  <si>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</si>
  <si>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</si>
  <si>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</si>
  <si>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</si>
  <si>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</si>
  <si>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</si>
  <si>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</si>
  <si>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</si>
  <si>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</si>
  <si>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</si>
  <si>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</si>
  <si>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</si>
  <si>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</si>
  <si>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</si>
  <si>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</si>
  <si>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11029</t>
  </si>
  <si>
    <t>MORTSEL</t>
  </si>
  <si>
    <t>Eandis (januari 2018); Infrax (juni 2018)</t>
  </si>
  <si>
    <t>MOW (september 2017)</t>
  </si>
  <si>
    <t>referentietaak LNE (2017); Jaarverslag De Lijn (2016)</t>
  </si>
  <si>
    <t>VEA (april 2018)</t>
  </si>
  <si>
    <t>VEA (januari 2017)</t>
  </si>
  <si>
    <t>VEA (juni 2018)</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</si>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</sst>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173050.95191491919</c:v>
                </c:pt>
                <c:pt idx="1">
                  <c:v>82084.014032459148</c:v>
                </c:pt>
                <c:pt idx="2">
                  <c:v>1118.777</c:v>
                </c:pt>
                <c:pt idx="3">
                  <c:v>6425.3821116310974</c:v>
                </c:pt>
                <c:pt idx="4">
                  <c:v>345177.18139584269</c:v>
                </c:pt>
                <c:pt idx="5">
                  <c:v>54677.864177603122</c:v>
                </c:pt>
                <c:pt idx="6">
                  <c:v>4078.4510092855162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459776"/>
        <c:axId val="182518912"/>
      </c:barChart>
      <c:catAx>
        <c:axId val="182459776"/>
        <c:scaling>
          <c:orientation val="minMax"/>
        </c:scaling>
        <c:axPos val="b"/>
        <c:numFmt formatCode="General" sourceLinked="0"/>
        <c:tickLblPos val="nextTo"/>
        <c:crossAx val="182518912"/>
        <c:crosses val="autoZero"/>
        <c:auto val="1"/>
        <c:lblAlgn val="ctr"/>
        <c:lblOffset val="100"/>
      </c:catAx>
      <c:valAx>
        <c:axId val="182518912"/>
        <c:scaling>
          <c:orientation val="minMax"/>
        </c:scaling>
        <c:axPos val="l"/>
        <c:majorGridlines/>
        <c:numFmt formatCode="#,##0" sourceLinked="1"/>
        <c:tickLblPos val="nextTo"/>
        <c:crossAx val="182459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173050.95191491919</c:v>
                </c:pt>
                <c:pt idx="1">
                  <c:v>82084.014032459148</c:v>
                </c:pt>
                <c:pt idx="2">
                  <c:v>1118.777</c:v>
                </c:pt>
                <c:pt idx="3">
                  <c:v>6425.3821116310974</c:v>
                </c:pt>
                <c:pt idx="4">
                  <c:v>345177.18139584269</c:v>
                </c:pt>
                <c:pt idx="5">
                  <c:v>54677.864177603122</c:v>
                </c:pt>
                <c:pt idx="6">
                  <c:v>4078.4510092855162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33886.950524954824</c:v>
                </c:pt>
                <c:pt idx="1">
                  <c:v>16821.547429041268</c:v>
                </c:pt>
                <c:pt idx="2">
                  <c:v>237.53626319715553</c:v>
                </c:pt>
                <c:pt idx="3">
                  <c:v>1347.4578684083142</c:v>
                </c:pt>
                <c:pt idx="4">
                  <c:v>69707.538026273018</c:v>
                </c:pt>
                <c:pt idx="5">
                  <c:v>13669.744862735204</c:v>
                </c:pt>
                <c:pt idx="6">
                  <c:v>966.00408778966516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392"/>
        <c:axId val="183005184"/>
      </c:barChart>
      <c:catAx>
        <c:axId val="183003392"/>
        <c:scaling>
          <c:orientation val="minMax"/>
        </c:scaling>
        <c:axPos val="b"/>
        <c:numFmt formatCode="General" sourceLinked="0"/>
        <c:tickLblPos val="nextTo"/>
        <c:crossAx val="183005184"/>
        <c:crosses val="autoZero"/>
        <c:auto val="1"/>
        <c:lblAlgn val="ctr"/>
        <c:lblOffset val="100"/>
      </c:catAx>
      <c:valAx>
        <c:axId val="183005184"/>
        <c:scaling>
          <c:orientation val="minMax"/>
        </c:scaling>
        <c:axPos val="l"/>
        <c:majorGridlines/>
        <c:numFmt formatCode="#,##0" sourceLinked="1"/>
        <c:tickLblPos val="nextTo"/>
        <c:crossAx val="183003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33886.950524954824</c:v>
                </c:pt>
                <c:pt idx="1">
                  <c:v>16821.547429041268</c:v>
                </c:pt>
                <c:pt idx="2">
                  <c:v>237.53626319715553</c:v>
                </c:pt>
                <c:pt idx="3">
                  <c:v>1347.4578684083142</c:v>
                </c:pt>
                <c:pt idx="4">
                  <c:v>69707.538026273018</c:v>
                </c:pt>
                <c:pt idx="5">
                  <c:v>13669.744862735204</c:v>
                </c:pt>
                <c:pt idx="6">
                  <c:v>966.00408778966516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11029</v>
      </c>
      <c r="B6" s="415"/>
      <c r="C6" s="416"/>
    </row>
    <row r="7" spans="1:7" s="413" customFormat="1" ht="15.75" customHeight="1">
      <c r="A7" s="417" t="str">
        <f>txtMunicipality</f>
        <v>MORTSEL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11073</v>
      </c>
      <c r="C9" s="342">
        <v>10776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110.33</v>
      </c>
    </row>
    <row r="15" spans="1:6">
      <c r="A15" s="348" t="s">
        <v>184</v>
      </c>
      <c r="B15" s="334">
        <v>4</v>
      </c>
    </row>
    <row r="16" spans="1:6">
      <c r="A16" s="348" t="s">
        <v>6</v>
      </c>
      <c r="B16" s="334">
        <v>330</v>
      </c>
    </row>
    <row r="17" spans="1:6">
      <c r="A17" s="348" t="s">
        <v>7</v>
      </c>
      <c r="B17" s="334">
        <v>0</v>
      </c>
    </row>
    <row r="18" spans="1:6">
      <c r="A18" s="348" t="s">
        <v>8</v>
      </c>
      <c r="B18" s="334">
        <v>169</v>
      </c>
    </row>
    <row r="19" spans="1:6">
      <c r="A19" s="348" t="s">
        <v>9</v>
      </c>
      <c r="B19" s="334">
        <v>136</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52215.026441889597</v>
      </c>
      <c r="E38" s="334">
        <v>2</v>
      </c>
      <c r="F38" s="334">
        <v>4599.3920572528004</v>
      </c>
    </row>
    <row r="39" spans="1:6">
      <c r="A39" s="348" t="s">
        <v>30</v>
      </c>
      <c r="B39" s="348" t="s">
        <v>31</v>
      </c>
      <c r="C39" s="334">
        <v>9453</v>
      </c>
      <c r="D39" s="334">
        <v>143890318.36926299</v>
      </c>
      <c r="E39" s="334">
        <v>11339</v>
      </c>
      <c r="F39" s="334">
        <v>33499184.125698801</v>
      </c>
    </row>
    <row r="40" spans="1:6">
      <c r="A40" s="348" t="s">
        <v>30</v>
      </c>
      <c r="B40" s="348" t="s">
        <v>29</v>
      </c>
      <c r="C40" s="334">
        <v>0</v>
      </c>
      <c r="D40" s="334">
        <v>0</v>
      </c>
      <c r="E40" s="334">
        <v>0</v>
      </c>
      <c r="F40" s="334">
        <v>0</v>
      </c>
    </row>
    <row r="41" spans="1:6">
      <c r="A41" s="348" t="s">
        <v>32</v>
      </c>
      <c r="B41" s="348" t="s">
        <v>33</v>
      </c>
      <c r="C41" s="334">
        <v>61</v>
      </c>
      <c r="D41" s="334">
        <v>1250809.9003945701</v>
      </c>
      <c r="E41" s="334">
        <v>124</v>
      </c>
      <c r="F41" s="334">
        <v>1163864.96204804</v>
      </c>
    </row>
    <row r="42" spans="1:6">
      <c r="A42" s="348" t="s">
        <v>32</v>
      </c>
      <c r="B42" s="348" t="s">
        <v>34</v>
      </c>
      <c r="C42" s="334">
        <v>8</v>
      </c>
      <c r="D42" s="334">
        <v>376138316.10109699</v>
      </c>
      <c r="E42" s="334">
        <v>3</v>
      </c>
      <c r="F42" s="334">
        <v>7707.6455060070002</v>
      </c>
    </row>
    <row r="43" spans="1:6">
      <c r="A43" s="348" t="s">
        <v>32</v>
      </c>
      <c r="B43" s="348" t="s">
        <v>35</v>
      </c>
      <c r="C43" s="334">
        <v>0</v>
      </c>
      <c r="D43" s="334">
        <v>0</v>
      </c>
      <c r="E43" s="334">
        <v>0</v>
      </c>
      <c r="F43" s="334">
        <v>0</v>
      </c>
    </row>
    <row r="44" spans="1:6">
      <c r="A44" s="348" t="s">
        <v>32</v>
      </c>
      <c r="B44" s="348" t="s">
        <v>36</v>
      </c>
      <c r="C44" s="334">
        <v>0</v>
      </c>
      <c r="D44" s="334">
        <v>0</v>
      </c>
      <c r="E44" s="334">
        <v>10</v>
      </c>
      <c r="F44" s="334">
        <v>80986.087967878993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26126.902328681499</v>
      </c>
    </row>
    <row r="48" spans="1:6">
      <c r="A48" s="348" t="s">
        <v>32</v>
      </c>
      <c r="B48" s="348" t="s">
        <v>29</v>
      </c>
      <c r="C48" s="334">
        <v>20</v>
      </c>
      <c r="D48" s="334">
        <v>826177.59150747699</v>
      </c>
      <c r="E48" s="334">
        <v>26</v>
      </c>
      <c r="F48" s="334">
        <v>402590.77539732802</v>
      </c>
    </row>
    <row r="49" spans="1:6">
      <c r="A49" s="348" t="s">
        <v>32</v>
      </c>
      <c r="B49" s="348" t="s">
        <v>40</v>
      </c>
      <c r="C49" s="334">
        <v>0</v>
      </c>
      <c r="D49" s="334">
        <v>0</v>
      </c>
      <c r="E49" s="334">
        <v>0</v>
      </c>
      <c r="F49" s="334">
        <v>0</v>
      </c>
    </row>
    <row r="50" spans="1:6">
      <c r="A50" s="348" t="s">
        <v>32</v>
      </c>
      <c r="B50" s="348" t="s">
        <v>41</v>
      </c>
      <c r="C50" s="334">
        <v>4</v>
      </c>
      <c r="D50" s="334">
        <v>189935.32600644699</v>
      </c>
      <c r="E50" s="334">
        <v>7</v>
      </c>
      <c r="F50" s="334">
        <v>206428.802280348</v>
      </c>
    </row>
    <row r="51" spans="1:6">
      <c r="A51" s="348" t="s">
        <v>42</v>
      </c>
      <c r="B51" s="348" t="s">
        <v>43</v>
      </c>
      <c r="C51" s="334">
        <v>4</v>
      </c>
      <c r="D51" s="334">
        <v>98652.025477858799</v>
      </c>
      <c r="E51" s="334">
        <v>4</v>
      </c>
      <c r="F51" s="334">
        <v>11589.488960168999</v>
      </c>
    </row>
    <row r="52" spans="1:6">
      <c r="A52" s="348" t="s">
        <v>42</v>
      </c>
      <c r="B52" s="348" t="s">
        <v>29</v>
      </c>
      <c r="C52" s="334">
        <v>2</v>
      </c>
      <c r="D52" s="334">
        <v>45748.471217324397</v>
      </c>
      <c r="E52" s="334">
        <v>3</v>
      </c>
      <c r="F52" s="334">
        <v>151415.10900873999</v>
      </c>
    </row>
    <row r="53" spans="1:6">
      <c r="A53" s="348" t="s">
        <v>44</v>
      </c>
      <c r="B53" s="348" t="s">
        <v>45</v>
      </c>
      <c r="C53" s="334">
        <v>289</v>
      </c>
      <c r="D53" s="334">
        <v>6014027.5500234002</v>
      </c>
      <c r="E53" s="334">
        <v>558</v>
      </c>
      <c r="F53" s="334">
        <v>2778286.3460629801</v>
      </c>
    </row>
    <row r="54" spans="1:6">
      <c r="A54" s="348" t="s">
        <v>46</v>
      </c>
      <c r="B54" s="348" t="s">
        <v>47</v>
      </c>
      <c r="C54" s="334">
        <v>0</v>
      </c>
      <c r="D54" s="334">
        <v>0</v>
      </c>
      <c r="E54" s="334">
        <v>1</v>
      </c>
      <c r="F54" s="334">
        <v>1118777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84</v>
      </c>
      <c r="D57" s="334">
        <v>2455045.2679699599</v>
      </c>
      <c r="E57" s="334">
        <v>111</v>
      </c>
      <c r="F57" s="334">
        <v>1045776.58851913</v>
      </c>
    </row>
    <row r="58" spans="1:6">
      <c r="A58" s="348" t="s">
        <v>49</v>
      </c>
      <c r="B58" s="348" t="s">
        <v>51</v>
      </c>
      <c r="C58" s="334">
        <v>116</v>
      </c>
      <c r="D58" s="334">
        <v>10087509.4818593</v>
      </c>
      <c r="E58" s="334">
        <v>120</v>
      </c>
      <c r="F58" s="334">
        <v>2426712.1178970798</v>
      </c>
    </row>
    <row r="59" spans="1:6">
      <c r="A59" s="348" t="s">
        <v>49</v>
      </c>
      <c r="B59" s="348" t="s">
        <v>52</v>
      </c>
      <c r="C59" s="334">
        <v>159</v>
      </c>
      <c r="D59" s="334">
        <v>5104313.7433649702</v>
      </c>
      <c r="E59" s="334">
        <v>267</v>
      </c>
      <c r="F59" s="334">
        <v>6330099.2363161901</v>
      </c>
    </row>
    <row r="60" spans="1:6">
      <c r="A60" s="348" t="s">
        <v>49</v>
      </c>
      <c r="B60" s="348" t="s">
        <v>53</v>
      </c>
      <c r="C60" s="334">
        <v>91</v>
      </c>
      <c r="D60" s="334">
        <v>11738851.559939301</v>
      </c>
      <c r="E60" s="334">
        <v>152</v>
      </c>
      <c r="F60" s="334">
        <v>3573328.3087008102</v>
      </c>
    </row>
    <row r="61" spans="1:6">
      <c r="A61" s="348" t="s">
        <v>49</v>
      </c>
      <c r="B61" s="348" t="s">
        <v>54</v>
      </c>
      <c r="C61" s="334">
        <v>316</v>
      </c>
      <c r="D61" s="334">
        <v>13993706.1745829</v>
      </c>
      <c r="E61" s="334">
        <v>607</v>
      </c>
      <c r="F61" s="334">
        <v>5029901.2341539199</v>
      </c>
    </row>
    <row r="62" spans="1:6">
      <c r="A62" s="348" t="s">
        <v>49</v>
      </c>
      <c r="B62" s="348" t="s">
        <v>55</v>
      </c>
      <c r="C62" s="334">
        <v>23</v>
      </c>
      <c r="D62" s="334">
        <v>1219224.7463188299</v>
      </c>
      <c r="E62" s="334">
        <v>31</v>
      </c>
      <c r="F62" s="334">
        <v>366549.69242122601</v>
      </c>
    </row>
    <row r="63" spans="1:6">
      <c r="A63" s="348" t="s">
        <v>49</v>
      </c>
      <c r="B63" s="348" t="s">
        <v>29</v>
      </c>
      <c r="C63" s="334">
        <v>103</v>
      </c>
      <c r="D63" s="334">
        <v>9020965.2512532696</v>
      </c>
      <c r="E63" s="334">
        <v>97</v>
      </c>
      <c r="F63" s="334">
        <v>8301576.1470755599</v>
      </c>
    </row>
    <row r="64" spans="1:6">
      <c r="A64" s="348" t="s">
        <v>56</v>
      </c>
      <c r="B64" s="348" t="s">
        <v>57</v>
      </c>
      <c r="C64" s="334">
        <v>0</v>
      </c>
      <c r="D64" s="334">
        <v>0</v>
      </c>
      <c r="E64" s="334">
        <v>0</v>
      </c>
      <c r="F64" s="334">
        <v>0</v>
      </c>
    </row>
    <row r="65" spans="1:6">
      <c r="A65" s="348" t="s">
        <v>56</v>
      </c>
      <c r="B65" s="348" t="s">
        <v>29</v>
      </c>
      <c r="C65" s="334">
        <v>5</v>
      </c>
      <c r="D65" s="334">
        <v>109379.57300162601</v>
      </c>
      <c r="E65" s="334">
        <v>1</v>
      </c>
      <c r="F65" s="334">
        <v>4820.4872476959999</v>
      </c>
    </row>
    <row r="66" spans="1:6">
      <c r="A66" s="348" t="s">
        <v>56</v>
      </c>
      <c r="B66" s="348" t="s">
        <v>58</v>
      </c>
      <c r="C66" s="334">
        <v>0</v>
      </c>
      <c r="D66" s="334">
        <v>0</v>
      </c>
      <c r="E66" s="334">
        <v>19</v>
      </c>
      <c r="F66" s="334">
        <v>217842.76567740299</v>
      </c>
    </row>
    <row r="67" spans="1:6">
      <c r="A67" s="355" t="s">
        <v>56</v>
      </c>
      <c r="B67" s="355" t="s">
        <v>59</v>
      </c>
      <c r="C67" s="334">
        <v>0</v>
      </c>
      <c r="D67" s="334">
        <v>0</v>
      </c>
      <c r="E67" s="334">
        <v>0</v>
      </c>
      <c r="F67" s="334">
        <v>0</v>
      </c>
    </row>
    <row r="68" spans="1:6">
      <c r="A68" s="341" t="s">
        <v>56</v>
      </c>
      <c r="B68" s="341" t="s">
        <v>60</v>
      </c>
      <c r="C68" s="334">
        <v>0</v>
      </c>
      <c r="D68" s="334">
        <v>0</v>
      </c>
      <c r="E68" s="334">
        <v>11</v>
      </c>
      <c r="F68" s="334">
        <v>2555763.0133026899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46618776</v>
      </c>
      <c r="E73" s="476">
        <v>46746374.197787844</v>
      </c>
    </row>
    <row r="74" spans="1:6">
      <c r="A74" s="348" t="s">
        <v>64</v>
      </c>
      <c r="B74" s="348" t="s">
        <v>657</v>
      </c>
      <c r="C74" s="1213" t="s">
        <v>659</v>
      </c>
      <c r="D74" s="476">
        <v>2736699.4637917764</v>
      </c>
      <c r="E74" s="476">
        <v>2590815.8648148524</v>
      </c>
    </row>
    <row r="75" spans="1:6">
      <c r="A75" s="348" t="s">
        <v>65</v>
      </c>
      <c r="B75" s="348" t="s">
        <v>656</v>
      </c>
      <c r="C75" s="1213" t="s">
        <v>660</v>
      </c>
      <c r="D75" s="476">
        <v>18920798</v>
      </c>
      <c r="E75" s="476">
        <v>19049613.596057791</v>
      </c>
    </row>
    <row r="76" spans="1:6">
      <c r="A76" s="348" t="s">
        <v>65</v>
      </c>
      <c r="B76" s="348" t="s">
        <v>657</v>
      </c>
      <c r="C76" s="1213" t="s">
        <v>661</v>
      </c>
      <c r="D76" s="476">
        <v>719760.46379177668</v>
      </c>
      <c r="E76" s="476">
        <v>719904.28661527159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672961.07241644675</v>
      </c>
      <c r="C83" s="476">
        <v>675922.93390698673</v>
      </c>
    </row>
    <row r="84" spans="1:6">
      <c r="A84" s="341" t="s">
        <v>337</v>
      </c>
      <c r="B84" s="1214">
        <v>453101.85371080315</v>
      </c>
      <c r="C84" s="1214">
        <v>452470.74265457405</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1642.1224167050154</v>
      </c>
    </row>
    <row r="92" spans="1:6">
      <c r="A92" s="341" t="s">
        <v>69</v>
      </c>
      <c r="B92" s="342">
        <v>1004.3109792813262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7129</v>
      </c>
    </row>
    <row r="98" spans="1:6">
      <c r="A98" s="348" t="s">
        <v>72</v>
      </c>
      <c r="B98" s="334">
        <v>9</v>
      </c>
    </row>
    <row r="99" spans="1:6">
      <c r="A99" s="348" t="s">
        <v>73</v>
      </c>
      <c r="B99" s="334">
        <v>16</v>
      </c>
    </row>
    <row r="100" spans="1:6">
      <c r="A100" s="348" t="s">
        <v>74</v>
      </c>
      <c r="B100" s="334">
        <v>538</v>
      </c>
    </row>
    <row r="101" spans="1:6">
      <c r="A101" s="348" t="s">
        <v>75</v>
      </c>
      <c r="B101" s="334">
        <v>33</v>
      </c>
    </row>
    <row r="102" spans="1:6">
      <c r="A102" s="348" t="s">
        <v>76</v>
      </c>
      <c r="B102" s="334">
        <v>143</v>
      </c>
    </row>
    <row r="103" spans="1:6">
      <c r="A103" s="348" t="s">
        <v>77</v>
      </c>
      <c r="B103" s="334">
        <v>56</v>
      </c>
    </row>
    <row r="104" spans="1:6">
      <c r="A104" s="348" t="s">
        <v>78</v>
      </c>
      <c r="B104" s="334">
        <v>2194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67129.579160890557</v>
      </c>
      <c r="C3" s="43" t="s">
        <v>170</v>
      </c>
      <c r="D3" s="43"/>
      <c r="E3" s="154"/>
      <c r="F3" s="43"/>
      <c r="G3" s="43"/>
      <c r="H3" s="43"/>
      <c r="I3" s="43"/>
      <c r="J3" s="43"/>
      <c r="K3" s="96"/>
    </row>
    <row r="4" spans="1:11">
      <c r="A4" s="383" t="s">
        <v>171</v>
      </c>
      <c r="B4" s="49">
        <f>IF(ISERROR('SEAP template'!B69),0,'SEAP template'!B69)</f>
        <v>2768.3083959863416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28.963235294117649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0.21231779273005749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41.37605042016807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174.10714285714286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1118.777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1118.777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0.21231779273005749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237.53626319715553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33499.184125698805</v>
      </c>
      <c r="C5" s="17">
        <f>IF(ISERROR('Eigen informatie GS &amp; warmtenet'!B57),0,'Eigen informatie GS &amp; warmtenet'!B57)</f>
        <v>0</v>
      </c>
      <c r="D5" s="30">
        <f>(SUM(HH_hh_gas_kWh,HH_rest_gas_kWh)/1000)*0.902</f>
        <v>129789.06716907522</v>
      </c>
      <c r="E5" s="17">
        <f>B46*B57</f>
        <v>918.21285492563823</v>
      </c>
      <c r="F5" s="17">
        <f>B51*B62</f>
        <v>0</v>
      </c>
      <c r="G5" s="18"/>
      <c r="H5" s="17"/>
      <c r="I5" s="17"/>
      <c r="J5" s="17">
        <f>B50*B61+C50*C61</f>
        <v>0</v>
      </c>
      <c r="K5" s="17"/>
      <c r="L5" s="17"/>
      <c r="M5" s="17"/>
      <c r="N5" s="17">
        <f>B48*B59+C48*C59</f>
        <v>6454.0153485145411</v>
      </c>
      <c r="O5" s="17">
        <f>B69*B70*B71</f>
        <v>195.41666666666669</v>
      </c>
      <c r="P5" s="17">
        <f>B77*B78*B79/1000-B77*B78*B79/1000/B80</f>
        <v>552.93333333333339</v>
      </c>
    </row>
    <row r="6" spans="1:16">
      <c r="A6" s="16" t="s">
        <v>621</v>
      </c>
      <c r="B6" s="843">
        <f>kWh_PV_kleiner_dan_10kW</f>
        <v>1642.1224167050154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35141.306542403821</v>
      </c>
      <c r="C8" s="21">
        <f>C5</f>
        <v>0</v>
      </c>
      <c r="D8" s="21">
        <f>D5</f>
        <v>129789.06716907522</v>
      </c>
      <c r="E8" s="21">
        <f>E5</f>
        <v>918.21285492563823</v>
      </c>
      <c r="F8" s="21">
        <f>F5</f>
        <v>0</v>
      </c>
      <c r="G8" s="21"/>
      <c r="H8" s="21"/>
      <c r="I8" s="21"/>
      <c r="J8" s="21">
        <f>J5</f>
        <v>0</v>
      </c>
      <c r="K8" s="21"/>
      <c r="L8" s="21">
        <f>L5</f>
        <v>0</v>
      </c>
      <c r="M8" s="21">
        <f>M5</f>
        <v>0</v>
      </c>
      <c r="N8" s="21">
        <f>N5</f>
        <v>6454.0153485145411</v>
      </c>
      <c r="O8" s="21">
        <f>O5</f>
        <v>195.41666666666669</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0.21231779273005749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7461.1246387335077</v>
      </c>
      <c r="C12" s="23">
        <f ca="1">C10*C8</f>
        <v>0</v>
      </c>
      <c r="D12" s="23">
        <f>D8*D10</f>
        <v>26217.391568153198</v>
      </c>
      <c r="E12" s="23">
        <f>E10*E8</f>
        <v>208.43431806811989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7129</v>
      </c>
      <c r="C18" s="166" t="s">
        <v>111</v>
      </c>
      <c r="D18" s="228"/>
      <c r="E18" s="15"/>
    </row>
    <row r="19" spans="1:7">
      <c r="A19" s="171" t="s">
        <v>72</v>
      </c>
      <c r="B19" s="37">
        <f>aantalw2001_ander</f>
        <v>9</v>
      </c>
      <c r="C19" s="166" t="s">
        <v>111</v>
      </c>
      <c r="D19" s="229"/>
      <c r="E19" s="15"/>
    </row>
    <row r="20" spans="1:7">
      <c r="A20" s="171" t="s">
        <v>73</v>
      </c>
      <c r="B20" s="37">
        <f>aantalw2001_propaan</f>
        <v>16</v>
      </c>
      <c r="C20" s="167">
        <f>IF(ISERROR(B20/SUM($B$20,$B$21,$B$22)*100),0,B20/SUM($B$20,$B$21,$B$22)*100)</f>
        <v>2.7257240204429301</v>
      </c>
      <c r="D20" s="229"/>
      <c r="E20" s="15"/>
    </row>
    <row r="21" spans="1:7">
      <c r="A21" s="171" t="s">
        <v>74</v>
      </c>
      <c r="B21" s="37">
        <f>aantalw2001_elektriciteit</f>
        <v>538</v>
      </c>
      <c r="C21" s="167">
        <f>IF(ISERROR(B21/SUM($B$20,$B$21,$B$22)*100),0,B21/SUM($B$20,$B$21,$B$22)*100)</f>
        <v>91.652470187393533</v>
      </c>
      <c r="D21" s="229"/>
      <c r="E21" s="15"/>
    </row>
    <row r="22" spans="1:7">
      <c r="A22" s="171" t="s">
        <v>75</v>
      </c>
      <c r="B22" s="37">
        <f>aantalw2001_hout</f>
        <v>33</v>
      </c>
      <c r="C22" s="167">
        <f>IF(ISERROR(B22/SUM($B$20,$B$21,$B$22)*100),0,B22/SUM($B$20,$B$21,$B$22)*100)</f>
        <v>5.6218057921635438</v>
      </c>
      <c r="D22" s="229"/>
      <c r="E22" s="15"/>
    </row>
    <row r="23" spans="1:7">
      <c r="A23" s="171" t="s">
        <v>76</v>
      </c>
      <c r="B23" s="37">
        <f>aantalw2001_niet_gespec</f>
        <v>143</v>
      </c>
      <c r="C23" s="166" t="s">
        <v>111</v>
      </c>
      <c r="D23" s="228"/>
      <c r="E23" s="15"/>
    </row>
    <row r="24" spans="1:7">
      <c r="A24" s="171" t="s">
        <v>77</v>
      </c>
      <c r="B24" s="37">
        <f>aantalw2001_steenkool</f>
        <v>56</v>
      </c>
      <c r="C24" s="166" t="s">
        <v>111</v>
      </c>
      <c r="D24" s="229"/>
      <c r="E24" s="15"/>
    </row>
    <row r="25" spans="1:7">
      <c r="A25" s="171" t="s">
        <v>78</v>
      </c>
      <c r="B25" s="37">
        <f>aantalw2001_stookolie</f>
        <v>2194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11073</v>
      </c>
      <c r="C28" s="36"/>
      <c r="D28" s="228"/>
    </row>
    <row r="29" spans="1:7" s="15" customFormat="1">
      <c r="A29" s="230" t="s">
        <v>795</v>
      </c>
      <c r="B29" s="37">
        <f>SUM(HH_hh_gas_aantal,HH_rest_gas_aantal)</f>
        <v>9453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9453</v>
      </c>
      <c r="C32" s="167">
        <f>IF(ISERROR(B32/SUM($B$32,$B$34,$B$35,$B$36,$B$38,$B$39)*100),0,B32/SUM($B$32,$B$34,$B$35,$B$36,$B$38,$B$39)*100)</f>
        <v>85.593987685621158</v>
      </c>
      <c r="D32" s="233"/>
      <c r="G32" s="15"/>
    </row>
    <row r="33" spans="1:7">
      <c r="A33" s="171" t="s">
        <v>72</v>
      </c>
      <c r="B33" s="34" t="s">
        <v>111</v>
      </c>
      <c r="C33" s="167"/>
      <c r="D33" s="233"/>
      <c r="G33" s="15"/>
    </row>
    <row r="34" spans="1:7">
      <c r="A34" s="171" t="s">
        <v>73</v>
      </c>
      <c r="B34" s="33">
        <f>IF((($B$28-$B$32-$B$39-$B$77-$B$38)*C20/100)&lt;0,0,($B$28-$B$32-$B$39-$B$77-$B$38)*C20/100)</f>
        <v>43.366269165247012</v>
      </c>
      <c r="C34" s="167">
        <f>IF(ISERROR(B34/SUM($B$32,$B$34,$B$35,$B$36,$B$38,$B$39)*100),0,B34/SUM($B$32,$B$34,$B$35,$B$36,$B$38,$B$39)*100)</f>
        <v>0.39266813804099071</v>
      </c>
      <c r="D34" s="233"/>
      <c r="G34" s="15"/>
    </row>
    <row r="35" spans="1:7">
      <c r="A35" s="171" t="s">
        <v>74</v>
      </c>
      <c r="B35" s="33">
        <f>IF((($B$28-$B$32-$B$39-$B$77-$B$38)*C21/100)&lt;0,0,($B$28-$B$32-$B$39-$B$77-$B$38)*C21/100)</f>
        <v>1458.190800681431</v>
      </c>
      <c r="C35" s="167">
        <f>IF(ISERROR(B35/SUM($B$32,$B$34,$B$35,$B$36,$B$38,$B$39)*100),0,B35/SUM($B$32,$B$34,$B$35,$B$36,$B$38,$B$39)*100)</f>
        <v>13.203466141628317</v>
      </c>
      <c r="D35" s="233"/>
      <c r="G35" s="15"/>
    </row>
    <row r="36" spans="1:7">
      <c r="A36" s="171" t="s">
        <v>75</v>
      </c>
      <c r="B36" s="33">
        <f>IF((($B$28-$B$32-$B$39-$B$77-$B$38)*C22/100)&lt;0,0,($B$28-$B$32-$B$39-$B$77-$B$38)*C22/100)</f>
        <v>89.442930153321981</v>
      </c>
      <c r="C36" s="167">
        <f>IF(ISERROR(B36/SUM($B$32,$B$34,$B$35,$B$36,$B$38,$B$39)*100),0,B36/SUM($B$32,$B$34,$B$35,$B$36,$B$38,$B$39)*100)</f>
        <v>0.80987803470954356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9453</v>
      </c>
      <c r="C44" s="34" t="s">
        <v>111</v>
      </c>
      <c r="D44" s="174"/>
    </row>
    <row r="45" spans="1:7">
      <c r="A45" s="171" t="s">
        <v>72</v>
      </c>
      <c r="B45" s="33" t="str">
        <f t="shared" si="0"/>
        <v>-</v>
      </c>
      <c r="C45" s="34" t="s">
        <v>111</v>
      </c>
      <c r="D45" s="174"/>
    </row>
    <row r="46" spans="1:7">
      <c r="A46" s="171" t="s">
        <v>73</v>
      </c>
      <c r="B46" s="33">
        <f t="shared" si="0"/>
        <v>43.366269165247012</v>
      </c>
      <c r="C46" s="34" t="s">
        <v>111</v>
      </c>
      <c r="D46" s="174"/>
    </row>
    <row r="47" spans="1:7">
      <c r="A47" s="171" t="s">
        <v>74</v>
      </c>
      <c r="B47" s="33">
        <f t="shared" si="0"/>
        <v>1458.190800681431</v>
      </c>
      <c r="C47" s="34" t="s">
        <v>111</v>
      </c>
      <c r="D47" s="174"/>
    </row>
    <row r="48" spans="1:7">
      <c r="A48" s="171" t="s">
        <v>75</v>
      </c>
      <c r="B48" s="33">
        <f t="shared" si="0"/>
        <v>89.442930153321981</v>
      </c>
      <c r="C48" s="33">
        <f>B48*10</f>
        <v>894.42930153321981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27073.943325083917</v>
      </c>
      <c r="C5" s="17">
        <f>IF(ISERROR('Eigen informatie GS &amp; warmtenet'!B58),0,'Eigen informatie GS &amp; warmtenet'!B58)</f>
        <v>0</v>
      </c>
      <c r="D5" s="30">
        <f>SUM(D6:D12)</f>
        <v>48364.893835210256</v>
      </c>
      <c r="E5" s="17">
        <f>SUM(E6:E12)</f>
        <v>390.81084575129859</v>
      </c>
      <c r="F5" s="17">
        <f>SUM(F6:F12)</f>
        <v>4561.4860576549154</v>
      </c>
      <c r="G5" s="18"/>
      <c r="H5" s="17"/>
      <c r="I5" s="17"/>
      <c r="J5" s="17">
        <f>SUM(J6:J12)</f>
        <v>4.2802186548734328E-2</v>
      </c>
      <c r="K5" s="17"/>
      <c r="L5" s="17"/>
      <c r="M5" s="17"/>
      <c r="N5" s="17">
        <f>SUM(N6:N12)</f>
        <v>1745.069309429346</v>
      </c>
      <c r="O5" s="17">
        <f>B38*B39*B40</f>
        <v>0</v>
      </c>
      <c r="P5" s="17">
        <f>B46*B47*B48/1000-B46*B47*B48/1000/B49</f>
        <v>0</v>
      </c>
      <c r="R5" s="32"/>
    </row>
    <row r="6" spans="1:18">
      <c r="A6" s="32" t="s">
        <v>54</v>
      </c>
      <c r="B6" s="37">
        <f>B26</f>
        <v>5029.9012341539201</v>
      </c>
      <c r="C6" s="33"/>
      <c r="D6" s="37">
        <f>IF(ISERROR(TER_kantoor_gas_kWh/1000),0,TER_kantoor_gas_kWh/1000)*0.902</f>
        <v>12622.322969473777</v>
      </c>
      <c r="E6" s="33">
        <f>$C$26*'E Balans VL '!I12/100/3.6*1000000</f>
        <v>3.1525748016734925E-2</v>
      </c>
      <c r="F6" s="33">
        <f>$C$26*('E Balans VL '!L12+'E Balans VL '!N12)/100/3.6*1000000</f>
        <v>755.85360664817949</v>
      </c>
      <c r="G6" s="34"/>
      <c r="H6" s="33"/>
      <c r="I6" s="33"/>
      <c r="J6" s="33">
        <f>$C$26*('E Balans VL '!D12+'E Balans VL '!E12)/100/3.6*1000000</f>
        <v>0</v>
      </c>
      <c r="K6" s="33"/>
      <c r="L6" s="33"/>
      <c r="M6" s="33"/>
      <c r="N6" s="33">
        <f>$C$26*'E Balans VL '!Y12/100/3.6*1000000</f>
        <v>4.8103547657669354</v>
      </c>
      <c r="O6" s="33"/>
      <c r="P6" s="33"/>
      <c r="R6" s="32"/>
    </row>
    <row r="7" spans="1:18">
      <c r="A7" s="32" t="s">
        <v>53</v>
      </c>
      <c r="B7" s="37">
        <f t="shared" ref="B7:B12" si="0">B27</f>
        <v>3573.3283087008103</v>
      </c>
      <c r="C7" s="33"/>
      <c r="D7" s="37">
        <f>IF(ISERROR(TER_horeca_gas_kWh/1000),0,TER_horeca_gas_kWh/1000)*0.902</f>
        <v>10588.44410706525</v>
      </c>
      <c r="E7" s="33">
        <f>$C$27*'E Balans VL '!I9/100/3.6*1000000</f>
        <v>51.16946617772247</v>
      </c>
      <c r="F7" s="33">
        <f>$C$27*('E Balans VL '!L9+'E Balans VL '!N9)/100/3.6*1000000</f>
        <v>452.5012167895286</v>
      </c>
      <c r="G7" s="34"/>
      <c r="H7" s="33"/>
      <c r="I7" s="33"/>
      <c r="J7" s="33">
        <f>$C$27*('E Balans VL '!D9+'E Balans VL '!E9)/100/3.6*1000000</f>
        <v>0</v>
      </c>
      <c r="K7" s="33"/>
      <c r="L7" s="33"/>
      <c r="M7" s="33"/>
      <c r="N7" s="33">
        <f>$C$27*'E Balans VL '!Y9/100/3.6*1000000</f>
        <v>1.0272531036251649</v>
      </c>
      <c r="O7" s="33"/>
      <c r="P7" s="33"/>
      <c r="R7" s="32"/>
    </row>
    <row r="8" spans="1:18">
      <c r="A8" s="6" t="s">
        <v>52</v>
      </c>
      <c r="B8" s="37">
        <f t="shared" si="0"/>
        <v>6330.0992363161904</v>
      </c>
      <c r="C8" s="33"/>
      <c r="D8" s="37">
        <f>IF(ISERROR(TER_handel_gas_kWh/1000),0,TER_handel_gas_kWh/1000)*0.902</f>
        <v>4604.0909965152032</v>
      </c>
      <c r="E8" s="33">
        <f>$C$28*'E Balans VL '!I13/100/3.6*1000000</f>
        <v>229.5919187083222</v>
      </c>
      <c r="F8" s="33">
        <f>$C$28*('E Balans VL '!L13+'E Balans VL '!N13)/100/3.6*1000000</f>
        <v>1219.2412092443833</v>
      </c>
      <c r="G8" s="34"/>
      <c r="H8" s="33"/>
      <c r="I8" s="33"/>
      <c r="J8" s="33">
        <f>$C$28*('E Balans VL '!D13+'E Balans VL '!E13)/100/3.6*1000000</f>
        <v>0</v>
      </c>
      <c r="K8" s="33"/>
      <c r="L8" s="33"/>
      <c r="M8" s="33"/>
      <c r="N8" s="33">
        <f>$C$28*'E Balans VL '!Y13/100/3.6*1000000</f>
        <v>8.7686439331746531</v>
      </c>
      <c r="O8" s="33"/>
      <c r="P8" s="33"/>
      <c r="R8" s="32"/>
    </row>
    <row r="9" spans="1:18">
      <c r="A9" s="32" t="s">
        <v>51</v>
      </c>
      <c r="B9" s="37">
        <f t="shared" si="0"/>
        <v>2426.7121178970797</v>
      </c>
      <c r="C9" s="33"/>
      <c r="D9" s="37">
        <f>IF(ISERROR(TER_gezond_gas_kWh/1000),0,TER_gezond_gas_kWh/1000)*0.902</f>
        <v>9098.9335526370887</v>
      </c>
      <c r="E9" s="33">
        <f>$C$29*'E Balans VL '!I10/100/3.6*1000000</f>
        <v>0.15193613803399583</v>
      </c>
      <c r="F9" s="33">
        <f>$C$29*('E Balans VL '!L10+'E Balans VL '!N10)/100/3.6*1000000</f>
        <v>360.49547374835379</v>
      </c>
      <c r="G9" s="34"/>
      <c r="H9" s="33"/>
      <c r="I9" s="33"/>
      <c r="J9" s="33">
        <f>$C$29*('E Balans VL '!D10+'E Balans VL '!E10)/100/3.6*1000000</f>
        <v>0</v>
      </c>
      <c r="K9" s="33"/>
      <c r="L9" s="33"/>
      <c r="M9" s="33"/>
      <c r="N9" s="33">
        <f>$C$29*'E Balans VL '!Y10/100/3.6*1000000</f>
        <v>37.536617197335566</v>
      </c>
      <c r="O9" s="33"/>
      <c r="P9" s="33"/>
      <c r="R9" s="32"/>
    </row>
    <row r="10" spans="1:18">
      <c r="A10" s="32" t="s">
        <v>50</v>
      </c>
      <c r="B10" s="37">
        <f t="shared" si="0"/>
        <v>1045.77658851913</v>
      </c>
      <c r="C10" s="33"/>
      <c r="D10" s="37">
        <f>IF(ISERROR(TER_ander_gas_kWh/1000),0,TER_ander_gas_kWh/1000)*0.902</f>
        <v>2214.4508317089035</v>
      </c>
      <c r="E10" s="33">
        <f>$C$30*'E Balans VL '!I14/100/3.6*1000000</f>
        <v>1.246528323773906</v>
      </c>
      <c r="F10" s="33">
        <f>$C$30*('E Balans VL '!L14+'E Balans VL '!N14)/100/3.6*1000000</f>
        <v>273.62164713213559</v>
      </c>
      <c r="G10" s="34"/>
      <c r="H10" s="33"/>
      <c r="I10" s="33"/>
      <c r="J10" s="33">
        <f>$C$30*('E Balans VL '!D14+'E Balans VL '!E14)/100/3.6*1000000</f>
        <v>2.2699710405713881E-2</v>
      </c>
      <c r="K10" s="33"/>
      <c r="L10" s="33"/>
      <c r="M10" s="33"/>
      <c r="N10" s="33">
        <f>$C$30*'E Balans VL '!Y14/100/3.6*1000000</f>
        <v>888.04788917752614</v>
      </c>
      <c r="O10" s="33"/>
      <c r="P10" s="33"/>
      <c r="R10" s="32"/>
    </row>
    <row r="11" spans="1:18">
      <c r="A11" s="32" t="s">
        <v>55</v>
      </c>
      <c r="B11" s="37">
        <f t="shared" si="0"/>
        <v>366.54969242122598</v>
      </c>
      <c r="C11" s="33"/>
      <c r="D11" s="37">
        <f>IF(ISERROR(TER_onderwijs_gas_kWh/1000),0,TER_onderwijs_gas_kWh/1000)*0.902</f>
        <v>1099.7407211795849</v>
      </c>
      <c r="E11" s="33">
        <f>$C$31*'E Balans VL '!I11/100/3.6*1000000</f>
        <v>5.5306444742171808</v>
      </c>
      <c r="F11" s="33">
        <f>$C$31*('E Balans VL '!L11+'E Balans VL '!N11)/100/3.6*1000000</f>
        <v>64.22536191774347</v>
      </c>
      <c r="G11" s="34"/>
      <c r="H11" s="33"/>
      <c r="I11" s="33"/>
      <c r="J11" s="33">
        <f>$C$31*('E Balans VL '!D11+'E Balans VL '!E11)/100/3.6*1000000</f>
        <v>0</v>
      </c>
      <c r="K11" s="33"/>
      <c r="L11" s="33"/>
      <c r="M11" s="33"/>
      <c r="N11" s="33">
        <f>$C$31*'E Balans VL '!Y11/100/3.6*1000000</f>
        <v>1.0314987006421434</v>
      </c>
      <c r="O11" s="33"/>
      <c r="P11" s="33"/>
      <c r="R11" s="32"/>
    </row>
    <row r="12" spans="1:18">
      <c r="A12" s="32" t="s">
        <v>260</v>
      </c>
      <c r="B12" s="37">
        <f t="shared" si="0"/>
        <v>8301.5761470755606</v>
      </c>
      <c r="C12" s="33"/>
      <c r="D12" s="37">
        <f>IF(ISERROR(TER_rest_gas_kWh/1000),0,TER_rest_gas_kWh/1000)*0.902</f>
        <v>8136.9106566304499</v>
      </c>
      <c r="E12" s="33">
        <f>$C$32*'E Balans VL '!I8/100/3.6*1000000</f>
        <v>103.08882618121208</v>
      </c>
      <c r="F12" s="33">
        <f>$C$32*('E Balans VL '!L8+'E Balans VL '!N8)/100/3.6*1000000</f>
        <v>1435.5475421745909</v>
      </c>
      <c r="G12" s="34"/>
      <c r="H12" s="33"/>
      <c r="I12" s="33"/>
      <c r="J12" s="33">
        <f>$C$32*('E Balans VL '!D8+'E Balans VL '!E8)/100/3.6*1000000</f>
        <v>2.0102476143020444E-2</v>
      </c>
      <c r="K12" s="33"/>
      <c r="L12" s="33"/>
      <c r="M12" s="33"/>
      <c r="N12" s="33">
        <f>$C$32*'E Balans VL '!Y8/100/3.6*1000000</f>
        <v>803.84705255127528</v>
      </c>
      <c r="O12" s="33"/>
      <c r="P12" s="33"/>
      <c r="R12" s="32"/>
    </row>
    <row r="13" spans="1:18">
      <c r="A13" s="16" t="s">
        <v>488</v>
      </c>
      <c r="B13" s="247">
        <f ca="1">'lokale energieproductie'!N90+'lokale energieproductie'!N59</f>
        <v>121.875</v>
      </c>
      <c r="C13" s="247">
        <f ca="1">'lokale energieproductie'!O90+'lokale energieproductie'!O59</f>
        <v>174.10714285714286</v>
      </c>
      <c r="D13" s="310">
        <f ca="1">('lokale energieproductie'!P59+'lokale energieproductie'!P90)*(-1)</f>
        <v>-348.21428571428572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27195.818325083917</v>
      </c>
      <c r="C16" s="21">
        <f t="shared" ca="1" si="1"/>
        <v>174.10714285714286</v>
      </c>
      <c r="D16" s="21">
        <f t="shared" ca="1" si="1"/>
        <v>48016.679549495973</v>
      </c>
      <c r="E16" s="21">
        <f t="shared" si="1"/>
        <v>390.81084575129859</v>
      </c>
      <c r="F16" s="21">
        <f t="shared" ca="1" si="1"/>
        <v>4561.4860576549154</v>
      </c>
      <c r="G16" s="21">
        <f t="shared" si="1"/>
        <v>0</v>
      </c>
      <c r="H16" s="21">
        <f t="shared" si="1"/>
        <v>0</v>
      </c>
      <c r="I16" s="21">
        <f t="shared" si="1"/>
        <v>0</v>
      </c>
      <c r="J16" s="21">
        <f t="shared" si="1"/>
        <v>4.2802186548734328E-2</v>
      </c>
      <c r="K16" s="21">
        <f t="shared" si="1"/>
        <v>0</v>
      </c>
      <c r="L16" s="21">
        <f t="shared" ca="1" si="1"/>
        <v>0</v>
      </c>
      <c r="M16" s="21">
        <f t="shared" si="1"/>
        <v>0</v>
      </c>
      <c r="N16" s="21">
        <f t="shared" ca="1" si="1"/>
        <v>1745.069309429346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0.21231779273005749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5774.1561182694668</v>
      </c>
      <c r="C20" s="23">
        <f t="shared" ref="C20:P20" ca="1" si="2">C16*C18</f>
        <v>41.37605042016807</v>
      </c>
      <c r="D20" s="23">
        <f t="shared" ca="1" si="2"/>
        <v>9699.3692689981872</v>
      </c>
      <c r="E20" s="23">
        <f t="shared" si="2"/>
        <v>88.714061985544788</v>
      </c>
      <c r="F20" s="23">
        <f t="shared" ca="1" si="2"/>
        <v>1217.9167773938625</v>
      </c>
      <c r="G20" s="23">
        <f t="shared" si="2"/>
        <v>0</v>
      </c>
      <c r="H20" s="23">
        <f t="shared" si="2"/>
        <v>0</v>
      </c>
      <c r="I20" s="23">
        <f t="shared" si="2"/>
        <v>0</v>
      </c>
      <c r="J20" s="23">
        <f t="shared" si="2"/>
        <v>1.5151974038251951E-2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5029.9012341539201</v>
      </c>
      <c r="C26" s="39">
        <f>IF(ISERROR(B26*3.6/1000000/'E Balans VL '!Z12*100),0,B26*3.6/1000000/'E Balans VL '!Z12*100)</f>
        <v>0.10632414408284262</v>
      </c>
      <c r="D26" s="237" t="s">
        <v>754</v>
      </c>
      <c r="F26" s="6"/>
    </row>
    <row r="27" spans="1:18">
      <c r="A27" s="231" t="s">
        <v>53</v>
      </c>
      <c r="B27" s="33">
        <f>IF(ISERROR(TER_horeca_ele_kWh/1000),0,TER_horeca_ele_kWh/1000)</f>
        <v>3573.3283087008103</v>
      </c>
      <c r="C27" s="39">
        <f>IF(ISERROR(B27*3.6/1000000/'E Balans VL '!Z9*100),0,B27*3.6/1000000/'E Balans VL '!Z9*100)</f>
        <v>0.28168413872743092</v>
      </c>
      <c r="D27" s="237" t="s">
        <v>754</v>
      </c>
      <c r="F27" s="6"/>
    </row>
    <row r="28" spans="1:18">
      <c r="A28" s="171" t="s">
        <v>52</v>
      </c>
      <c r="B28" s="33">
        <f>IF(ISERROR(TER_handel_ele_kWh/1000),0,TER_handel_ele_kWh/1000)</f>
        <v>6330.0992363161904</v>
      </c>
      <c r="C28" s="39">
        <f>IF(ISERROR(B28*3.6/1000000/'E Balans VL '!Z13*100),0,B28*3.6/1000000/'E Balans VL '!Z13*100)</f>
        <v>0.18372505630480981</v>
      </c>
      <c r="D28" s="237" t="s">
        <v>754</v>
      </c>
      <c r="F28" s="6"/>
    </row>
    <row r="29" spans="1:18">
      <c r="A29" s="231" t="s">
        <v>51</v>
      </c>
      <c r="B29" s="33">
        <f>IF(ISERROR(TER_gezond_ele_kWh/1000),0,TER_gezond_ele_kWh/1000)</f>
        <v>2426.7121178970797</v>
      </c>
      <c r="C29" s="39">
        <f>IF(ISERROR(B29*3.6/1000000/'E Balans VL '!Z10*100),0,B29*3.6/1000000/'E Balans VL '!Z10*100)</f>
        <v>0.25557263367936267</v>
      </c>
      <c r="D29" s="237" t="s">
        <v>754</v>
      </c>
      <c r="F29" s="6"/>
    </row>
    <row r="30" spans="1:18">
      <c r="A30" s="231" t="s">
        <v>50</v>
      </c>
      <c r="B30" s="33">
        <f>IF(ISERROR(TER_ander_ele_kWh/1000),0,TER_ander_ele_kWh/1000)</f>
        <v>1045.77658851913</v>
      </c>
      <c r="C30" s="39">
        <f>IF(ISERROR(B30*3.6/1000000/'E Balans VL '!Z14*100),0,B30*3.6/1000000/'E Balans VL '!Z14*100)</f>
        <v>7.7136708310716173E-2</v>
      </c>
      <c r="D30" s="237" t="s">
        <v>754</v>
      </c>
      <c r="F30" s="6"/>
    </row>
    <row r="31" spans="1:18">
      <c r="A31" s="231" t="s">
        <v>55</v>
      </c>
      <c r="B31" s="33">
        <f>IF(ISERROR(TER_onderwijs_ele_kWh/1000),0,TER_onderwijs_ele_kWh/1000)</f>
        <v>366.54969242122598</v>
      </c>
      <c r="C31" s="39">
        <f>IF(ISERROR(B31*3.6/1000000/'E Balans VL '!Z11*100),0,B31*3.6/1000000/'E Balans VL '!Z11*100)</f>
        <v>9.1031458826971778E-2</v>
      </c>
      <c r="D31" s="237" t="s">
        <v>754</v>
      </c>
    </row>
    <row r="32" spans="1:18">
      <c r="A32" s="231" t="s">
        <v>260</v>
      </c>
      <c r="B32" s="33">
        <f>IF(ISERROR(TER_rest_ele_kWh/1000),0,TER_rest_ele_kWh/1000)</f>
        <v>8301.5761470755606</v>
      </c>
      <c r="C32" s="39">
        <f>IF(ISERROR(B32*3.6/1000000/'E Balans VL '!Z8*100),0,B32*3.6/1000000/'E Balans VL '!Z8*100)</f>
        <v>6.8310952468229644E-2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1887.7051755282837</v>
      </c>
      <c r="C5" s="17">
        <f>IF(ISERROR('Eigen informatie GS &amp; warmtenet'!B59),0,'Eigen informatie GS &amp; warmtenet'!B59)</f>
        <v>0</v>
      </c>
      <c r="D5" s="30">
        <f>SUM(D6:D15)</f>
        <v>341321.52550494293</v>
      </c>
      <c r="E5" s="17">
        <f>SUM(E6:E15)</f>
        <v>363.68714910042991</v>
      </c>
      <c r="F5" s="17">
        <f>SUM(F6:F15)</f>
        <v>1036.4339182442504</v>
      </c>
      <c r="G5" s="18"/>
      <c r="H5" s="17"/>
      <c r="I5" s="17"/>
      <c r="J5" s="17">
        <f>SUM(J6:J15)</f>
        <v>1.4453080911455445</v>
      </c>
      <c r="K5" s="17"/>
      <c r="L5" s="17"/>
      <c r="M5" s="17"/>
      <c r="N5" s="17">
        <f>SUM(N6:N15)</f>
        <v>566.38433993565297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80.986087967878987</v>
      </c>
      <c r="C8" s="33"/>
      <c r="D8" s="37">
        <f>IF( ISERROR(IND_metaal_Gas_kWH/1000),0,IND_metaal_Gas_kWH/1000)*0.902</f>
        <v>0</v>
      </c>
      <c r="E8" s="33">
        <f>C30*'E Balans VL '!I18/100/3.6*1000000</f>
        <v>0.74458886175704098</v>
      </c>
      <c r="F8" s="33">
        <f>C30*'E Balans VL '!L18/100/3.6*1000000+C30*'E Balans VL '!N18/100/3.6*1000000</f>
        <v>7.5937987515867702</v>
      </c>
      <c r="G8" s="34"/>
      <c r="H8" s="33"/>
      <c r="I8" s="33"/>
      <c r="J8" s="40">
        <f>C30*'E Balans VL '!D18/100/3.6*1000000+C30*'E Balans VL '!E18/100/3.6*1000000</f>
        <v>0</v>
      </c>
      <c r="K8" s="33"/>
      <c r="L8" s="33"/>
      <c r="M8" s="33"/>
      <c r="N8" s="33">
        <f>C30*'E Balans VL '!Y18/100/3.6*1000000</f>
        <v>1.155400380008099</v>
      </c>
      <c r="O8" s="33"/>
      <c r="P8" s="33"/>
      <c r="R8" s="32"/>
    </row>
    <row r="9" spans="1:18">
      <c r="A9" s="6" t="s">
        <v>33</v>
      </c>
      <c r="B9" s="37">
        <f t="shared" si="0"/>
        <v>1163.8649620480401</v>
      </c>
      <c r="C9" s="33"/>
      <c r="D9" s="37">
        <f>IF( ISERROR(IND_andere_gas_kWh/1000),0,IND_andere_gas_kWh/1000)*0.902</f>
        <v>1128.2305301559022</v>
      </c>
      <c r="E9" s="33">
        <f>C31*'E Balans VL '!I19/100/3.6*1000000</f>
        <v>340.22038618498368</v>
      </c>
      <c r="F9" s="33">
        <f>C31*'E Balans VL '!L19/100/3.6*1000000+C31*'E Balans VL '!N19/100/3.6*1000000</f>
        <v>935.25359348840084</v>
      </c>
      <c r="G9" s="34"/>
      <c r="H9" s="33"/>
      <c r="I9" s="33"/>
      <c r="J9" s="40">
        <f>C31*'E Balans VL '!D19/100/3.6*1000000+C31*'E Balans VL '!E19/100/3.6*1000000</f>
        <v>0</v>
      </c>
      <c r="K9" s="33"/>
      <c r="L9" s="33"/>
      <c r="M9" s="33"/>
      <c r="N9" s="33">
        <f>C31*'E Balans VL '!Y19/100/3.6*1000000</f>
        <v>384.55903372646895</v>
      </c>
      <c r="O9" s="33"/>
      <c r="P9" s="33"/>
      <c r="R9" s="32"/>
    </row>
    <row r="10" spans="1:18">
      <c r="A10" s="6" t="s">
        <v>41</v>
      </c>
      <c r="B10" s="37">
        <f t="shared" si="0"/>
        <v>206.42880228034801</v>
      </c>
      <c r="C10" s="33"/>
      <c r="D10" s="37">
        <f>IF( ISERROR(IND_voed_gas_kWh/1000),0,IND_voed_gas_kWh/1000)*0.902</f>
        <v>171.32166405781518</v>
      </c>
      <c r="E10" s="33">
        <f>C32*'E Balans VL '!I20/100/3.6*1000000</f>
        <v>0.43670333194056443</v>
      </c>
      <c r="F10" s="33">
        <f>C32*'E Balans VL '!L20/100/3.6*1000000+C32*'E Balans VL '!N20/100/3.6*1000000</f>
        <v>13.124954109822657</v>
      </c>
      <c r="G10" s="34"/>
      <c r="H10" s="33"/>
      <c r="I10" s="33"/>
      <c r="J10" s="40">
        <f>C32*'E Balans VL '!D20/100/3.6*1000000+C32*'E Balans VL '!E20/100/3.6*1000000</f>
        <v>0</v>
      </c>
      <c r="K10" s="33"/>
      <c r="L10" s="33"/>
      <c r="M10" s="33"/>
      <c r="N10" s="33">
        <f>C32*'E Balans VL '!Y20/100/3.6*1000000</f>
        <v>14.245624446540335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26.126902328681499</v>
      </c>
      <c r="C13" s="33"/>
      <c r="D13" s="37">
        <f>IF( ISERROR(IND_papier_gas_kWh/1000),0,IND_papier_gas_kWh/1000)*0.902</f>
        <v>0</v>
      </c>
      <c r="E13" s="33">
        <f>C35*'E Balans VL '!I23/100/3.6*1000000</f>
        <v>3.706809922822165E-2</v>
      </c>
      <c r="F13" s="33">
        <f>C35*'E Balans VL '!L23/100/3.6*1000000+C35*'E Balans VL '!N23/100/3.6*1000000</f>
        <v>0.63785592933006208</v>
      </c>
      <c r="G13" s="34"/>
      <c r="H13" s="33"/>
      <c r="I13" s="33"/>
      <c r="J13" s="40">
        <f>C35*'E Balans VL '!D23/100/3.6*1000000+C35*'E Balans VL '!E23/100/3.6*1000000</f>
        <v>4.0407707394372657E-3</v>
      </c>
      <c r="K13" s="33"/>
      <c r="L13" s="33"/>
      <c r="M13" s="33"/>
      <c r="N13" s="33">
        <f>C35*'E Balans VL '!Y23/100/3.6*1000000</f>
        <v>75.944720406892728</v>
      </c>
      <c r="O13" s="33"/>
      <c r="P13" s="33"/>
      <c r="R13" s="32"/>
    </row>
    <row r="14" spans="1:18">
      <c r="A14" s="6" t="s">
        <v>34</v>
      </c>
      <c r="B14" s="37">
        <f t="shared" si="0"/>
        <v>7.7076455060070002</v>
      </c>
      <c r="C14" s="33"/>
      <c r="D14" s="37">
        <f>IF( ISERROR(IND_chemie_gas_kWh/1000),0,IND_chemie_gas_kWh/1000)*0.902</f>
        <v>339276.76112318947</v>
      </c>
      <c r="E14" s="33">
        <f>C36*'E Balans VL '!I24/100/3.6*1000000</f>
        <v>1.8974014850402135E-2</v>
      </c>
      <c r="F14" s="33">
        <f>C36*'E Balans VL '!L24/100/3.6*1000000+C36*'E Balans VL '!N24/100/3.6*1000000</f>
        <v>8.2533106582916238E-2</v>
      </c>
      <c r="G14" s="34"/>
      <c r="H14" s="33"/>
      <c r="I14" s="33"/>
      <c r="J14" s="40">
        <f>C36*'E Balans VL '!D24/100/3.6*1000000+C36*'E Balans VL '!E24/100/3.6*1000000</f>
        <v>0</v>
      </c>
      <c r="K14" s="33"/>
      <c r="L14" s="33"/>
      <c r="M14" s="33"/>
      <c r="N14" s="33">
        <f>C36*'E Balans VL '!Y24/100/3.6*1000000</f>
        <v>0.17213075065101813</v>
      </c>
      <c r="O14" s="33"/>
      <c r="P14" s="33"/>
      <c r="R14" s="32"/>
    </row>
    <row r="15" spans="1:18">
      <c r="A15" s="6" t="s">
        <v>270</v>
      </c>
      <c r="B15" s="37">
        <f t="shared" si="0"/>
        <v>402.590775397328</v>
      </c>
      <c r="C15" s="33"/>
      <c r="D15" s="37">
        <f>IF( ISERROR(IND_rest_gas_kWh/1000),0,IND_rest_gas_kWh/1000)*0.902</f>
        <v>745.21218753974426</v>
      </c>
      <c r="E15" s="33">
        <f>C37*'E Balans VL '!I15/100/3.6*1000000</f>
        <v>22.229428607669917</v>
      </c>
      <c r="F15" s="33">
        <f>C37*'E Balans VL '!L15/100/3.6*1000000+C37*'E Balans VL '!N15/100/3.6*1000000</f>
        <v>79.741182858527267</v>
      </c>
      <c r="G15" s="34"/>
      <c r="H15" s="33"/>
      <c r="I15" s="33"/>
      <c r="J15" s="40">
        <f>C37*'E Balans VL '!D15/100/3.6*1000000+C37*'E Balans VL '!E15/100/3.6*1000000</f>
        <v>1.4412673204061073</v>
      </c>
      <c r="K15" s="33"/>
      <c r="L15" s="33"/>
      <c r="M15" s="33"/>
      <c r="N15" s="33">
        <f>C37*'E Balans VL '!Y15/100/3.6*1000000</f>
        <v>90.307430225091863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1887.7051755282837</v>
      </c>
      <c r="C18" s="21">
        <f>C5+C16</f>
        <v>0</v>
      </c>
      <c r="D18" s="21">
        <f>MAX((D5+D16),0)</f>
        <v>341321.52550494293</v>
      </c>
      <c r="E18" s="21">
        <f>MAX((E5+E16),0)</f>
        <v>363.68714910042991</v>
      </c>
      <c r="F18" s="21">
        <f>MAX((F5+F16),0)</f>
        <v>1036.4339182442504</v>
      </c>
      <c r="G18" s="21"/>
      <c r="H18" s="21"/>
      <c r="I18" s="21"/>
      <c r="J18" s="21">
        <f>MAX((J5+J16),0)</f>
        <v>1.4453080911455445</v>
      </c>
      <c r="K18" s="21"/>
      <c r="L18" s="21">
        <f>MAX((L5+L16),0)</f>
        <v>0</v>
      </c>
      <c r="M18" s="21"/>
      <c r="N18" s="21">
        <f>MAX((N5+N16),0)</f>
        <v>566.38433993565297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0.21231779273005749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400.79339619327095</v>
      </c>
      <c r="C22" s="23">
        <f ca="1">C18*C20</f>
        <v>0</v>
      </c>
      <c r="D22" s="23">
        <f>D18*D20</f>
        <v>68946.948151998469</v>
      </c>
      <c r="E22" s="23">
        <f>E18*E20</f>
        <v>82.556982845797592</v>
      </c>
      <c r="F22" s="23">
        <f>F18*F20</f>
        <v>276.72785617121491</v>
      </c>
      <c r="G22" s="23"/>
      <c r="H22" s="23"/>
      <c r="I22" s="23"/>
      <c r="J22" s="23">
        <f>J18*J20</f>
        <v>0.51163906426552275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80.986087967878987</v>
      </c>
      <c r="C30" s="39">
        <f>IF(ISERROR(B30*3.6/1000000/'E Balans VL '!Z18*100),0,B30*3.6/1000000/'E Balans VL '!Z18*100)</f>
        <v>4.5896892670513455E-3</v>
      </c>
      <c r="D30" s="237" t="s">
        <v>754</v>
      </c>
    </row>
    <row r="31" spans="1:18">
      <c r="A31" s="6" t="s">
        <v>33</v>
      </c>
      <c r="B31" s="37">
        <f>IF( ISERROR(IND_ander_ele_kWh/1000),0,IND_ander_ele_kWh/1000)</f>
        <v>1163.8649620480401</v>
      </c>
      <c r="C31" s="39">
        <f>IF(ISERROR(B31*3.6/1000000/'E Balans VL '!Z19*100),0,B31*3.6/1000000/'E Balans VL '!Z19*100)</f>
        <v>5.2788068429144623E-2</v>
      </c>
      <c r="D31" s="237" t="s">
        <v>754</v>
      </c>
    </row>
    <row r="32" spans="1:18">
      <c r="A32" s="171" t="s">
        <v>41</v>
      </c>
      <c r="B32" s="37">
        <f>IF( ISERROR(IND_voed_ele_kWh/1000),0,IND_voed_ele_kWh/1000)</f>
        <v>206.42880228034801</v>
      </c>
      <c r="C32" s="39">
        <f>IF(ISERROR(B32*3.6/1000000/'E Balans VL '!Z20*100),0,B32*3.6/1000000/'E Balans VL '!Z20*100)</f>
        <v>6.3857799621683704E-3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26.126902328681499</v>
      </c>
      <c r="C35" s="39">
        <f>IF(ISERROR(B35*3.6/1000000/'E Balans VL '!Z22*100),0,B35*3.6/1000000/'E Balans VL '!Z22*100)</f>
        <v>4.6994145789651604E-3</v>
      </c>
      <c r="D35" s="237" t="s">
        <v>754</v>
      </c>
    </row>
    <row r="36" spans="1:5">
      <c r="A36" s="171" t="s">
        <v>34</v>
      </c>
      <c r="B36" s="37">
        <f>IF( ISERROR(IND_chemie_ele_kWh/1000),0,IND_chemie_ele_kWh/1000)</f>
        <v>7.7076455060070002</v>
      </c>
      <c r="C36" s="39">
        <f>IF(ISERROR(B36*3.6/1000000/'E Balans VL '!Z24*100),0,B36*3.6/1000000/'E Balans VL '!Z24*100)</f>
        <v>2.3503713373272897E-4</v>
      </c>
      <c r="D36" s="237" t="s">
        <v>754</v>
      </c>
    </row>
    <row r="37" spans="1:5">
      <c r="A37" s="171" t="s">
        <v>270</v>
      </c>
      <c r="B37" s="37">
        <f>IF( ISERROR(IND_rest_ele_kWh/1000),0,IND_rest_ele_kWh/1000)</f>
        <v>402.590775397328</v>
      </c>
      <c r="C37" s="39">
        <f>IF(ISERROR(B37*3.6/1000000/'E Balans VL '!Z15*100),0,B37*3.6/1000000/'E Balans VL '!Z15*100)</f>
        <v>3.1910263235185418E-3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163.004597968909</v>
      </c>
      <c r="C5" s="17">
        <f>'Eigen informatie GS &amp; warmtenet'!B60</f>
        <v>0</v>
      </c>
      <c r="D5" s="30">
        <f>IF(ISERROR(SUM(LB_lb_gas_kWh,LB_rest_gas_kWh,onbekend_gas_kWh)/1000),0,SUM(LB_lb_gas_kWh,LB_rest_gas_kWh,onbekend_gas_kWh)/1000)*0.902</f>
        <v>5554.9020981401627</v>
      </c>
      <c r="E5" s="17">
        <f>B17*'E Balans VL '!I25/3.6*1000000/100</f>
        <v>4.7912030078137375</v>
      </c>
      <c r="F5" s="17">
        <f>B17*('E Balans VL '!L25/3.6*1000000+'E Balans VL '!N25/3.6*1000000)/100</f>
        <v>679.06834683232796</v>
      </c>
      <c r="G5" s="18"/>
      <c r="H5" s="17"/>
      <c r="I5" s="17"/>
      <c r="J5" s="17">
        <f>('E Balans VL '!D25+'E Balans VL '!E25)/3.6*1000000*landbouw!B17/100</f>
        <v>23.615865681882966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163.004597968909</v>
      </c>
      <c r="C8" s="21">
        <f>C5+C6</f>
        <v>0</v>
      </c>
      <c r="D8" s="21">
        <f>MAX((D5+D6),0)</f>
        <v>5554.9020981401627</v>
      </c>
      <c r="E8" s="21">
        <f>MAX((E5+E6),0)</f>
        <v>4.7912030078137375</v>
      </c>
      <c r="F8" s="21">
        <f>MAX((F5+F6),0)</f>
        <v>679.06834683232796</v>
      </c>
      <c r="G8" s="21"/>
      <c r="H8" s="21"/>
      <c r="I8" s="21"/>
      <c r="J8" s="21">
        <f>MAX((J5+J6),0)</f>
        <v>23.615865681882966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0.21231779273005749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34.608776445609173</v>
      </c>
      <c r="C12" s="23">
        <f ca="1">C8*C10</f>
        <v>0</v>
      </c>
      <c r="D12" s="23">
        <f>D8*D10</f>
        <v>1122.0902238243129</v>
      </c>
      <c r="E12" s="23">
        <f>E8*E10</f>
        <v>1.0876030827737184</v>
      </c>
      <c r="F12" s="23">
        <f>F8*F10</f>
        <v>181.31124860423157</v>
      </c>
      <c r="G12" s="23"/>
      <c r="H12" s="23"/>
      <c r="I12" s="23"/>
      <c r="J12" s="23">
        <f>J8*J10</f>
        <v>8.3600164513865689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2.3130863863117853E-2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64.924774063538976</v>
      </c>
      <c r="C26" s="247">
        <f>B26*'GWP N2O_CH4'!B5</f>
        <v>1363.4202553343184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13.429248110874209</v>
      </c>
      <c r="C27" s="247">
        <f>B27*'GWP N2O_CH4'!B5</f>
        <v>282.01421032835839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0.65213280466647139</v>
      </c>
      <c r="C28" s="247">
        <f>B28*'GWP N2O_CH4'!B4</f>
        <v>202.16116944660612</v>
      </c>
      <c r="D28" s="50"/>
    </row>
    <row r="29" spans="1:4">
      <c r="A29" s="41" t="s">
        <v>277</v>
      </c>
      <c r="B29" s="247">
        <f>B34*'ha_N2O bodem landbouw'!B4</f>
        <v>0.71783350167917381</v>
      </c>
      <c r="C29" s="247">
        <f>B29*'GWP N2O_CH4'!B4</f>
        <v>222.52838552054388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1.6380713131889014E-4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9.2820548070215455E-5</v>
      </c>
      <c r="C5" s="463" t="s">
        <v>211</v>
      </c>
      <c r="D5" s="448">
        <f>SUM(D6:D11)</f>
        <v>3.4094060819080205E-4</v>
      </c>
      <c r="E5" s="448">
        <f>SUM(E6:E11)</f>
        <v>4.5134889737955528E-4</v>
      </c>
      <c r="F5" s="461" t="s">
        <v>211</v>
      </c>
      <c r="G5" s="448">
        <f>SUM(G6:G11)</f>
        <v>0.14785625114939885</v>
      </c>
      <c r="H5" s="448">
        <f>SUM(H6:H11)</f>
        <v>3.832300719884045E-2</v>
      </c>
      <c r="I5" s="463" t="s">
        <v>211</v>
      </c>
      <c r="J5" s="463" t="s">
        <v>211</v>
      </c>
      <c r="K5" s="463" t="s">
        <v>211</v>
      </c>
      <c r="L5" s="463" t="s">
        <v>211</v>
      </c>
      <c r="M5" s="448">
        <f>SUM(M6:M11)</f>
        <v>9.7759426374913593E-3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6.6023931414058417E-5</v>
      </c>
      <c r="C6" s="449"/>
      <c r="D6" s="962">
        <f>vkm_2011_GW_PW*SUMIFS(TableVerdeelsleutelVkm[CNG],TableVerdeelsleutelVkm[Voertuigtype],"Lichte voertuigen")*SUMIFS(TableECFTransport[EnergieConsumptieFactor (PJ per km)],TableECFTransport[Index],CONCATENATE($A6,"_CNG_CNG"))</f>
        <v>1.9803389995244554E-4</v>
      </c>
      <c r="E6" s="962">
        <f>vkm_2011_GW_PW*SUMIFS(TableVerdeelsleutelVkm[LPG],TableVerdeelsleutelVkm[Voertuigtype],"Lichte voertuigen")*SUMIFS(TableECFTransport[EnergieConsumptieFactor (PJ per km)],TableECFTransport[Index],CONCATENATE($A6,"_LPG_LPG"))</f>
        <v>2.7054275350287747E-4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6.9949954183265148E-2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2.2520137832177968E-2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4.7551874918633644E-3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2.5681322106188398E-2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7.825776113783113E-6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1.5007311890399683E-3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2.6796616656157031E-5</v>
      </c>
      <c r="C8" s="449"/>
      <c r="D8" s="451">
        <f>vkm_2011_NGW_PW*SUMIFS(TableVerdeelsleutelVkm[CNG],TableVerdeelsleutelVkm[Voertuigtype],"Lichte voertuigen")*SUMIFS(TableECFTransport[EnergieConsumptieFactor (PJ per km)],TableECFTransport[Index],CONCATENATE($A8,"_CNG_CNG"))</f>
        <v>1.4290670823835649E-4</v>
      </c>
      <c r="E8" s="451">
        <f>vkm_2011_NGW_PW*SUMIFS(TableVerdeelsleutelVkm[LPG],TableVerdeelsleutelVkm[Voertuigtype],"Lichte voertuigen")*SUMIFS(TableECFTransport[EnergieConsumptieFactor (PJ per km)],TableECFTransport[Index],CONCATENATE($A8,"_LPG_LPG"))</f>
        <v>1.8080614387667784E-4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4.3564357888604924E-2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1.5792559088697814E-2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3.0139308458696232E-3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8.6606169713403913E-3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2.4845018508835911E-6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5.0609311071840471E-4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25.783485575059849</v>
      </c>
      <c r="C14" s="21"/>
      <c r="D14" s="21">
        <f t="shared" ref="D14:M14" si="0">((D5)*10^9/3600)+D12</f>
        <v>94.705724497445019</v>
      </c>
      <c r="E14" s="21">
        <f t="shared" si="0"/>
        <v>125.37469371654313</v>
      </c>
      <c r="F14" s="21"/>
      <c r="G14" s="21">
        <f t="shared" si="0"/>
        <v>41071.180874833015</v>
      </c>
      <c r="H14" s="21">
        <f t="shared" si="0"/>
        <v>10645.27977745568</v>
      </c>
      <c r="I14" s="21"/>
      <c r="J14" s="21"/>
      <c r="K14" s="21"/>
      <c r="L14" s="21"/>
      <c r="M14" s="21">
        <f t="shared" si="0"/>
        <v>2715.5396215253772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0.21231779273005749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5.4742927461839841</v>
      </c>
      <c r="C18" s="23"/>
      <c r="D18" s="23">
        <f t="shared" ref="D18:M18" si="1">D14*D16</f>
        <v>19.130556348483896</v>
      </c>
      <c r="E18" s="23">
        <f t="shared" si="1"/>
        <v>28.460055473655292</v>
      </c>
      <c r="F18" s="23"/>
      <c r="G18" s="23">
        <f t="shared" si="1"/>
        <v>10966.005293580416</v>
      </c>
      <c r="H18" s="23">
        <f t="shared" si="1"/>
        <v>2650.6746645864646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5.749862523590092E-3</v>
      </c>
      <c r="C50" s="321">
        <f t="shared" ref="C50:P50" si="2">SUM(C51:C52)</f>
        <v>0</v>
      </c>
      <c r="D50" s="321">
        <f t="shared" si="2"/>
        <v>0</v>
      </c>
      <c r="E50" s="321">
        <f t="shared" si="2"/>
        <v>0</v>
      </c>
      <c r="F50" s="321">
        <f t="shared" si="2"/>
        <v>0</v>
      </c>
      <c r="G50" s="321">
        <f t="shared" si="2"/>
        <v>8.4524966162279717E-3</v>
      </c>
      <c r="H50" s="321">
        <f t="shared" si="2"/>
        <v>0</v>
      </c>
      <c r="I50" s="321">
        <f t="shared" si="2"/>
        <v>0</v>
      </c>
      <c r="J50" s="321">
        <f t="shared" si="2"/>
        <v>0</v>
      </c>
      <c r="K50" s="321">
        <f t="shared" si="2"/>
        <v>0</v>
      </c>
      <c r="L50" s="321">
        <f t="shared" si="2"/>
        <v>0</v>
      </c>
      <c r="M50" s="321">
        <f t="shared" si="2"/>
        <v>4.8006449360979609E-4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8.4524966162279717E-3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4.8006449360979609E-4</v>
      </c>
      <c r="N51" s="323"/>
      <c r="O51" s="323"/>
      <c r="P51" s="326"/>
    </row>
    <row r="52" spans="1:18">
      <c r="A52" s="4" t="s">
        <v>330</v>
      </c>
      <c r="B52" s="963">
        <f>vkm_2011_tram*SUMIFS(TableECFTransport[EnergieConsumptieFactor (PJ per km)],TableECFTransport[Index],"Tram_gemiddeld_Electric_Electric")</f>
        <v>5.749862523590092E-3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1597.184034330581</v>
      </c>
      <c r="C54" s="21">
        <f t="shared" ref="C54:P54" si="3">(C50)*10^9/3600</f>
        <v>0</v>
      </c>
      <c r="D54" s="21">
        <f t="shared" si="3"/>
        <v>0</v>
      </c>
      <c r="E54" s="21">
        <f t="shared" si="3"/>
        <v>0</v>
      </c>
      <c r="F54" s="21">
        <f t="shared" si="3"/>
        <v>0</v>
      </c>
      <c r="G54" s="21">
        <f t="shared" si="3"/>
        <v>2347.915726729992</v>
      </c>
      <c r="H54" s="21">
        <f t="shared" si="3"/>
        <v>0</v>
      </c>
      <c r="I54" s="21">
        <f t="shared" si="3"/>
        <v>0</v>
      </c>
      <c r="J54" s="21">
        <f t="shared" si="3"/>
        <v>0</v>
      </c>
      <c r="K54" s="21">
        <f t="shared" si="3"/>
        <v>0</v>
      </c>
      <c r="L54" s="21">
        <f t="shared" si="3"/>
        <v>0</v>
      </c>
      <c r="M54" s="21">
        <f t="shared" si="3"/>
        <v>133.35124822494336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0.21231779273005749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339.11058875275734</v>
      </c>
      <c r="C58" s="23">
        <f t="shared" ref="C58:P58" ca="1" si="4">C54*C56</f>
        <v>0</v>
      </c>
      <c r="D58" s="23">
        <f t="shared" si="4"/>
        <v>0</v>
      </c>
      <c r="E58" s="23">
        <f t="shared" si="4"/>
        <v>0</v>
      </c>
      <c r="F58" s="23">
        <f t="shared" si="4"/>
        <v>0</v>
      </c>
      <c r="G58" s="23">
        <f t="shared" si="4"/>
        <v>626.89349903690788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2646.4333959863416</v>
      </c>
      <c r="C6" s="1204"/>
      <c r="D6" s="1189"/>
      <c r="E6" s="1189"/>
      <c r="F6" s="1207"/>
      <c r="G6" s="1210"/>
      <c r="H6" s="1201"/>
      <c r="I6" s="1189"/>
      <c r="J6" s="1189"/>
      <c r="K6" s="1189"/>
      <c r="L6" s="1193"/>
      <c r="M6" s="575"/>
      <c r="N6" s="1167"/>
      <c r="O6" s="1168"/>
      <c r="Q6" s="573"/>
      <c r="R6" s="1155"/>
      <c r="S6" s="1155"/>
    </row>
    <row r="7" spans="1:19" s="563" customFormat="1">
      <c r="A7" s="576" t="s">
        <v>252</v>
      </c>
      <c r="B7" s="577">
        <f>N57</f>
        <v>121.875</v>
      </c>
      <c r="C7" s="578">
        <f>B100</f>
        <v>143.38235294117646</v>
      </c>
      <c r="D7" s="579"/>
      <c r="E7" s="579">
        <f>E100</f>
        <v>0</v>
      </c>
      <c r="F7" s="580"/>
      <c r="G7" s="581"/>
      <c r="H7" s="579">
        <f>I100</f>
        <v>0</v>
      </c>
      <c r="I7" s="579">
        <f>G100+F100</f>
        <v>0</v>
      </c>
      <c r="J7" s="579">
        <f>H100+D100+C100</f>
        <v>0</v>
      </c>
      <c r="K7" s="579"/>
      <c r="L7" s="582"/>
      <c r="M7" s="583">
        <f>C7*$C$11+D7*$D$11+E7*$E$11+F7*$F$11+G7*$G$11+H7*$H$11+I7*$I$11+J7*$J$11</f>
        <v>28.963235294117649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2768.3083959863416</v>
      </c>
      <c r="C9" s="594">
        <f t="shared" ref="C9:L9" si="0">SUM(C7:C8)</f>
        <v>143.38235294117646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28.963235294117649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174.10714285714286</v>
      </c>
      <c r="C16" s="610">
        <f>B101</f>
        <v>204.83193277310923</v>
      </c>
      <c r="D16" s="611"/>
      <c r="E16" s="611">
        <f>E101</f>
        <v>0</v>
      </c>
      <c r="F16" s="612"/>
      <c r="G16" s="613"/>
      <c r="H16" s="610">
        <f>I101</f>
        <v>0</v>
      </c>
      <c r="I16" s="611">
        <f>G101+F101</f>
        <v>0</v>
      </c>
      <c r="J16" s="611">
        <f>H101+D101+C101</f>
        <v>0</v>
      </c>
      <c r="K16" s="611"/>
      <c r="L16" s="614"/>
      <c r="M16" s="615">
        <f>C16*$C$21+E16*$E$21+H16*$H$21+I16*$I$21+J16*$J$21+D16*$D$21+F16*$F$21+G16*$G$21+K16*$K$21+L16*$L$21</f>
        <v>41.37605042016807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174.10714285714286</v>
      </c>
      <c r="C19" s="593">
        <f>SUM(C16:C18)</f>
        <v>204.83193277310923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41.37605042016807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11029</v>
      </c>
      <c r="C27" s="851">
        <v>2640</v>
      </c>
      <c r="D27" s="672" t="s">
        <v>809</v>
      </c>
      <c r="E27" s="671" t="s">
        <v>810</v>
      </c>
      <c r="F27" s="671" t="s">
        <v>811</v>
      </c>
      <c r="G27" s="671" t="s">
        <v>812</v>
      </c>
      <c r="H27" s="671" t="s">
        <v>813</v>
      </c>
      <c r="I27" s="671" t="s">
        <v>810</v>
      </c>
      <c r="J27" s="850">
        <v>41579</v>
      </c>
      <c r="K27" s="850">
        <v>42205</v>
      </c>
      <c r="L27" s="671" t="s">
        <v>814</v>
      </c>
      <c r="M27" s="671">
        <v>65</v>
      </c>
      <c r="N27" s="671">
        <v>121.875</v>
      </c>
      <c r="O27" s="671">
        <v>174.10714285714286</v>
      </c>
      <c r="P27" s="671">
        <v>348.21428571428572</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65</v>
      </c>
      <c r="N57" s="629">
        <f>SUM(N27:N56)</f>
        <v>121.875</v>
      </c>
      <c r="O57" s="629">
        <f t="shared" ref="O57:W57" si="2">SUM(O27:O56)</f>
        <v>174.10714285714286</v>
      </c>
      <c r="P57" s="629">
        <f t="shared" si="2"/>
        <v>348.21428571428572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65</v>
      </c>
      <c r="N59" s="629">
        <f ca="1">SUMIF($Z$27:AB56,"tertiair",N27:N56)</f>
        <v>121.875</v>
      </c>
      <c r="O59" s="629">
        <f ca="1">SUMIF($Z$27:AC56,"tertiair",O27:O56)</f>
        <v>174.10714285714286</v>
      </c>
      <c r="P59" s="629">
        <f ca="1">SUMIF($Z$27:AD56,"tertiair",P27:P56)</f>
        <v>348.21428571428572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143.38235294117646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204.83193277310923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28314.595325083916</v>
      </c>
      <c r="D10" s="718">
        <f ca="1">tertiair!C16</f>
        <v>174.10714285714286</v>
      </c>
      <c r="E10" s="718">
        <f ca="1">tertiair!D16</f>
        <v>48016.679549495973</v>
      </c>
      <c r="F10" s="718">
        <f>tertiair!E16</f>
        <v>390.81084575129859</v>
      </c>
      <c r="G10" s="718">
        <f ca="1">tertiair!F16</f>
        <v>4561.4860576549154</v>
      </c>
      <c r="H10" s="718">
        <f>tertiair!G16</f>
        <v>0</v>
      </c>
      <c r="I10" s="718">
        <f>tertiair!H16</f>
        <v>0</v>
      </c>
      <c r="J10" s="718">
        <f>tertiair!I16</f>
        <v>0</v>
      </c>
      <c r="K10" s="718">
        <f>tertiair!J16</f>
        <v>4.2802186548734328E-2</v>
      </c>
      <c r="L10" s="718">
        <f>tertiair!K16</f>
        <v>0</v>
      </c>
      <c r="M10" s="718">
        <f ca="1">tertiair!L16</f>
        <v>0</v>
      </c>
      <c r="N10" s="718">
        <f>tertiair!M16</f>
        <v>0</v>
      </c>
      <c r="O10" s="718">
        <f ca="1">tertiair!N16</f>
        <v>1745.069309429346</v>
      </c>
      <c r="P10" s="718">
        <f>tertiair!O16</f>
        <v>0</v>
      </c>
      <c r="Q10" s="719">
        <f>tertiair!P16</f>
        <v>0</v>
      </c>
      <c r="R10" s="721">
        <f ca="1">SUM(C10:Q10)</f>
        <v>83202.79103245915</v>
      </c>
      <c r="S10" s="67"/>
    </row>
    <row r="11" spans="1:19" s="474" customFormat="1">
      <c r="A11" s="870" t="s">
        <v>225</v>
      </c>
      <c r="B11" s="875"/>
      <c r="C11" s="718">
        <f>huishoudens!B8</f>
        <v>35141.306542403821</v>
      </c>
      <c r="D11" s="718">
        <f>huishoudens!C8</f>
        <v>0</v>
      </c>
      <c r="E11" s="718">
        <f>huishoudens!D8</f>
        <v>129789.06716907522</v>
      </c>
      <c r="F11" s="718">
        <f>huishoudens!E8</f>
        <v>918.21285492563823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6454.0153485145411</v>
      </c>
      <c r="P11" s="718">
        <f>huishoudens!O8</f>
        <v>195.41666666666669</v>
      </c>
      <c r="Q11" s="719">
        <f>huishoudens!P8</f>
        <v>552.93333333333339</v>
      </c>
      <c r="R11" s="721">
        <f>SUM(C11:Q11)</f>
        <v>173050.95191491919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1887.7051755282837</v>
      </c>
      <c r="D13" s="718">
        <f>industrie!C18</f>
        <v>0</v>
      </c>
      <c r="E13" s="718">
        <f>industrie!D18</f>
        <v>341321.52550494293</v>
      </c>
      <c r="F13" s="718">
        <f>industrie!E18</f>
        <v>363.68714910042991</v>
      </c>
      <c r="G13" s="718">
        <f>industrie!F18</f>
        <v>1036.4339182442504</v>
      </c>
      <c r="H13" s="718">
        <f>industrie!G18</f>
        <v>0</v>
      </c>
      <c r="I13" s="718">
        <f>industrie!H18</f>
        <v>0</v>
      </c>
      <c r="J13" s="718">
        <f>industrie!I18</f>
        <v>0</v>
      </c>
      <c r="K13" s="718">
        <f>industrie!J18</f>
        <v>1.4453080911455445</v>
      </c>
      <c r="L13" s="718">
        <f>industrie!K18</f>
        <v>0</v>
      </c>
      <c r="M13" s="718">
        <f>industrie!L18</f>
        <v>0</v>
      </c>
      <c r="N13" s="718">
        <f>industrie!M18</f>
        <v>0</v>
      </c>
      <c r="O13" s="718">
        <f>industrie!N18</f>
        <v>566.38433993565297</v>
      </c>
      <c r="P13" s="718">
        <f>industrie!O18</f>
        <v>0</v>
      </c>
      <c r="Q13" s="719">
        <f>industrie!P18</f>
        <v>0</v>
      </c>
      <c r="R13" s="721">
        <f>SUM(C13:Q13)</f>
        <v>345177.18139584269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65343.607043016018</v>
      </c>
      <c r="D15" s="723">
        <f t="shared" ref="D15:Q15" ca="1" si="0">SUM(D9:D14)</f>
        <v>174.10714285714286</v>
      </c>
      <c r="E15" s="723">
        <f t="shared" ca="1" si="0"/>
        <v>519127.27222351416</v>
      </c>
      <c r="F15" s="723">
        <f t="shared" si="0"/>
        <v>1672.7108497773668</v>
      </c>
      <c r="G15" s="723">
        <f t="shared" ca="1" si="0"/>
        <v>5597.9199758991654</v>
      </c>
      <c r="H15" s="723">
        <f t="shared" si="0"/>
        <v>0</v>
      </c>
      <c r="I15" s="723">
        <f t="shared" si="0"/>
        <v>0</v>
      </c>
      <c r="J15" s="723">
        <f t="shared" si="0"/>
        <v>0</v>
      </c>
      <c r="K15" s="723">
        <f t="shared" si="0"/>
        <v>1.4881102776942787</v>
      </c>
      <c r="L15" s="723">
        <f t="shared" si="0"/>
        <v>0</v>
      </c>
      <c r="M15" s="723">
        <f t="shared" ca="1" si="0"/>
        <v>0</v>
      </c>
      <c r="N15" s="723">
        <f t="shared" si="0"/>
        <v>0</v>
      </c>
      <c r="O15" s="723">
        <f t="shared" ca="1" si="0"/>
        <v>8765.4689978795413</v>
      </c>
      <c r="P15" s="723">
        <f t="shared" si="0"/>
        <v>195.41666666666669</v>
      </c>
      <c r="Q15" s="724">
        <f t="shared" si="0"/>
        <v>552.93333333333339</v>
      </c>
      <c r="R15" s="725">
        <f ca="1">SUM(R9:R14)</f>
        <v>601430.92434322101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1597.184034330581</v>
      </c>
      <c r="D18" s="718">
        <f>transport!C54</f>
        <v>0</v>
      </c>
      <c r="E18" s="718">
        <f>transport!D54</f>
        <v>0</v>
      </c>
      <c r="F18" s="718">
        <f>transport!E54</f>
        <v>0</v>
      </c>
      <c r="G18" s="718">
        <f>transport!F54</f>
        <v>0</v>
      </c>
      <c r="H18" s="718">
        <f>transport!G54</f>
        <v>2347.915726729992</v>
      </c>
      <c r="I18" s="718">
        <f>transport!H54</f>
        <v>0</v>
      </c>
      <c r="J18" s="718">
        <f>transport!I54</f>
        <v>0</v>
      </c>
      <c r="K18" s="718">
        <f>transport!J54</f>
        <v>0</v>
      </c>
      <c r="L18" s="718">
        <f>transport!K54</f>
        <v>0</v>
      </c>
      <c r="M18" s="718">
        <f>transport!L54</f>
        <v>0</v>
      </c>
      <c r="N18" s="718">
        <f>transport!M54</f>
        <v>133.35124822494336</v>
      </c>
      <c r="O18" s="718">
        <f>transport!N54</f>
        <v>0</v>
      </c>
      <c r="P18" s="718">
        <f>transport!O54</f>
        <v>0</v>
      </c>
      <c r="Q18" s="719">
        <f>transport!P54</f>
        <v>0</v>
      </c>
      <c r="R18" s="721">
        <f>SUM(C18:Q18)</f>
        <v>4078.4510092855162</v>
      </c>
      <c r="S18" s="67"/>
    </row>
    <row r="19" spans="1:19" s="474" customFormat="1" ht="15" thickBot="1">
      <c r="A19" s="870" t="s">
        <v>307</v>
      </c>
      <c r="B19" s="875"/>
      <c r="C19" s="727">
        <f>transport!B14</f>
        <v>25.783485575059849</v>
      </c>
      <c r="D19" s="727">
        <f>transport!C14</f>
        <v>0</v>
      </c>
      <c r="E19" s="727">
        <f>transport!D14</f>
        <v>94.705724497445019</v>
      </c>
      <c r="F19" s="727">
        <f>transport!E14</f>
        <v>125.37469371654313</v>
      </c>
      <c r="G19" s="727">
        <f>transport!F14</f>
        <v>0</v>
      </c>
      <c r="H19" s="727">
        <f>transport!G14</f>
        <v>41071.180874833015</v>
      </c>
      <c r="I19" s="727">
        <f>transport!H14</f>
        <v>10645.27977745568</v>
      </c>
      <c r="J19" s="727">
        <f>transport!I14</f>
        <v>0</v>
      </c>
      <c r="K19" s="727">
        <f>transport!J14</f>
        <v>0</v>
      </c>
      <c r="L19" s="727">
        <f>transport!K14</f>
        <v>0</v>
      </c>
      <c r="M19" s="727">
        <f>transport!L14</f>
        <v>0</v>
      </c>
      <c r="N19" s="727">
        <f>transport!M14</f>
        <v>2715.5396215253772</v>
      </c>
      <c r="O19" s="727">
        <f>transport!N14</f>
        <v>0</v>
      </c>
      <c r="P19" s="727">
        <f>transport!O14</f>
        <v>0</v>
      </c>
      <c r="Q19" s="728">
        <f>transport!P14</f>
        <v>0</v>
      </c>
      <c r="R19" s="729">
        <f>SUM(C19:Q19)</f>
        <v>54677.864177603122</v>
      </c>
      <c r="S19" s="67"/>
    </row>
    <row r="20" spans="1:19" s="474" customFormat="1" ht="15.75" thickBot="1">
      <c r="A20" s="730" t="s">
        <v>230</v>
      </c>
      <c r="B20" s="878"/>
      <c r="C20" s="873">
        <f>SUM(C17:C19)</f>
        <v>1622.9675199056408</v>
      </c>
      <c r="D20" s="731">
        <f t="shared" ref="D20:R20" si="1">SUM(D17:D19)</f>
        <v>0</v>
      </c>
      <c r="E20" s="731">
        <f t="shared" si="1"/>
        <v>94.705724497445019</v>
      </c>
      <c r="F20" s="731">
        <f t="shared" si="1"/>
        <v>125.37469371654313</v>
      </c>
      <c r="G20" s="731">
        <f t="shared" si="1"/>
        <v>0</v>
      </c>
      <c r="H20" s="731">
        <f t="shared" si="1"/>
        <v>43419.096601563004</v>
      </c>
      <c r="I20" s="731">
        <f t="shared" si="1"/>
        <v>10645.27977745568</v>
      </c>
      <c r="J20" s="731">
        <f t="shared" si="1"/>
        <v>0</v>
      </c>
      <c r="K20" s="731">
        <f t="shared" si="1"/>
        <v>0</v>
      </c>
      <c r="L20" s="731">
        <f t="shared" si="1"/>
        <v>0</v>
      </c>
      <c r="M20" s="731">
        <f t="shared" si="1"/>
        <v>0</v>
      </c>
      <c r="N20" s="731">
        <f t="shared" si="1"/>
        <v>2848.8908697503207</v>
      </c>
      <c r="O20" s="731">
        <f t="shared" si="1"/>
        <v>0</v>
      </c>
      <c r="P20" s="731">
        <f t="shared" si="1"/>
        <v>0</v>
      </c>
      <c r="Q20" s="732">
        <f t="shared" si="1"/>
        <v>0</v>
      </c>
      <c r="R20" s="733">
        <f t="shared" si="1"/>
        <v>58756.315186888634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163.004597968909</v>
      </c>
      <c r="D22" s="727">
        <f>+landbouw!C8</f>
        <v>0</v>
      </c>
      <c r="E22" s="727">
        <f>+landbouw!D8</f>
        <v>5554.9020981401627</v>
      </c>
      <c r="F22" s="727">
        <f>+landbouw!E8</f>
        <v>4.7912030078137375</v>
      </c>
      <c r="G22" s="727">
        <f>+landbouw!F8</f>
        <v>679.06834683232796</v>
      </c>
      <c r="H22" s="727">
        <f>+landbouw!G8</f>
        <v>0</v>
      </c>
      <c r="I22" s="727">
        <f>+landbouw!H8</f>
        <v>0</v>
      </c>
      <c r="J22" s="727">
        <f>+landbouw!I8</f>
        <v>0</v>
      </c>
      <c r="K22" s="727">
        <f>+landbouw!J8</f>
        <v>23.615865681882966</v>
      </c>
      <c r="L22" s="727">
        <f>+landbouw!K8</f>
        <v>0</v>
      </c>
      <c r="M22" s="727">
        <f>+landbouw!L8</f>
        <v>0</v>
      </c>
      <c r="N22" s="727">
        <f>+landbouw!M8</f>
        <v>0</v>
      </c>
      <c r="O22" s="727">
        <f>+landbouw!N8</f>
        <v>0</v>
      </c>
      <c r="P22" s="727">
        <f>+landbouw!O8</f>
        <v>0</v>
      </c>
      <c r="Q22" s="728">
        <f>+landbouw!P8</f>
        <v>0</v>
      </c>
      <c r="R22" s="729">
        <f>SUM(C22:Q22)</f>
        <v>6425.3821116310974</v>
      </c>
      <c r="S22" s="67"/>
    </row>
    <row r="23" spans="1:19" s="474" customFormat="1" ht="17.25" thickTop="1" thickBot="1">
      <c r="A23" s="734" t="s">
        <v>116</v>
      </c>
      <c r="B23" s="864"/>
      <c r="C23" s="735">
        <f ca="1">C20+C15+C22</f>
        <v>67129.579160890557</v>
      </c>
      <c r="D23" s="735">
        <f t="shared" ref="D23:Q23" ca="1" si="2">D20+D15+D22</f>
        <v>174.10714285714286</v>
      </c>
      <c r="E23" s="735">
        <f t="shared" ca="1" si="2"/>
        <v>524776.88004615181</v>
      </c>
      <c r="F23" s="735">
        <f t="shared" si="2"/>
        <v>1802.8767465017236</v>
      </c>
      <c r="G23" s="735">
        <f t="shared" ca="1" si="2"/>
        <v>6276.9883227314931</v>
      </c>
      <c r="H23" s="735">
        <f t="shared" si="2"/>
        <v>43419.096601563004</v>
      </c>
      <c r="I23" s="735">
        <f t="shared" si="2"/>
        <v>10645.27977745568</v>
      </c>
      <c r="J23" s="735">
        <f t="shared" si="2"/>
        <v>0</v>
      </c>
      <c r="K23" s="735">
        <f t="shared" si="2"/>
        <v>25.103975959577244</v>
      </c>
      <c r="L23" s="735">
        <f t="shared" si="2"/>
        <v>0</v>
      </c>
      <c r="M23" s="735">
        <f t="shared" ca="1" si="2"/>
        <v>0</v>
      </c>
      <c r="N23" s="735">
        <f t="shared" si="2"/>
        <v>2848.8908697503207</v>
      </c>
      <c r="O23" s="735">
        <f t="shared" ca="1" si="2"/>
        <v>8765.4689978795413</v>
      </c>
      <c r="P23" s="735">
        <f t="shared" si="2"/>
        <v>195.41666666666669</v>
      </c>
      <c r="Q23" s="736">
        <f t="shared" si="2"/>
        <v>552.93333333333339</v>
      </c>
      <c r="R23" s="737">
        <f ca="1">R20+R15+R22</f>
        <v>666612.62164174078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6011.6923814666225</v>
      </c>
      <c r="D36" s="718">
        <f ca="1">tertiair!C20</f>
        <v>41.37605042016807</v>
      </c>
      <c r="E36" s="718">
        <f ca="1">tertiair!D20</f>
        <v>9699.3692689981872</v>
      </c>
      <c r="F36" s="718">
        <f>tertiair!E20</f>
        <v>88.714061985544788</v>
      </c>
      <c r="G36" s="718">
        <f ca="1">tertiair!F20</f>
        <v>1217.9167773938625</v>
      </c>
      <c r="H36" s="718">
        <f>tertiair!G20</f>
        <v>0</v>
      </c>
      <c r="I36" s="718">
        <f>tertiair!H20</f>
        <v>0</v>
      </c>
      <c r="J36" s="718">
        <f>tertiair!I20</f>
        <v>0</v>
      </c>
      <c r="K36" s="718">
        <f>tertiair!J20</f>
        <v>1.5151974038251951E-2</v>
      </c>
      <c r="L36" s="718">
        <f>tertiair!K20</f>
        <v>0</v>
      </c>
      <c r="M36" s="718">
        <f ca="1">tertiair!L20</f>
        <v>0</v>
      </c>
      <c r="N36" s="718">
        <f>tertiair!M20</f>
        <v>0</v>
      </c>
      <c r="O36" s="718">
        <f ca="1">tertiair!N20</f>
        <v>0</v>
      </c>
      <c r="P36" s="718">
        <f>tertiair!O20</f>
        <v>0</v>
      </c>
      <c r="Q36" s="828">
        <f>tertiair!P20</f>
        <v>0</v>
      </c>
      <c r="R36" s="917">
        <f ca="1">SUM(C36:Q36)</f>
        <v>17059.083692238426</v>
      </c>
    </row>
    <row r="37" spans="1:18">
      <c r="A37" s="885" t="s">
        <v>225</v>
      </c>
      <c r="B37" s="892"/>
      <c r="C37" s="718">
        <f ca="1">huishoudens!B12</f>
        <v>7461.1246387335077</v>
      </c>
      <c r="D37" s="718">
        <f ca="1">huishoudens!C12</f>
        <v>0</v>
      </c>
      <c r="E37" s="718">
        <f>huishoudens!D12</f>
        <v>26217.391568153198</v>
      </c>
      <c r="F37" s="718">
        <f>huishoudens!E12</f>
        <v>208.43431806811989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33886.950524954824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400.79339619327095</v>
      </c>
      <c r="D39" s="718">
        <f ca="1">industrie!C22</f>
        <v>0</v>
      </c>
      <c r="E39" s="718">
        <f>industrie!D22</f>
        <v>68946.948151998469</v>
      </c>
      <c r="F39" s="718">
        <f>industrie!E22</f>
        <v>82.556982845797592</v>
      </c>
      <c r="G39" s="718">
        <f>industrie!F22</f>
        <v>276.72785617121491</v>
      </c>
      <c r="H39" s="718">
        <f>industrie!G22</f>
        <v>0</v>
      </c>
      <c r="I39" s="718">
        <f>industrie!H22</f>
        <v>0</v>
      </c>
      <c r="J39" s="718">
        <f>industrie!I22</f>
        <v>0</v>
      </c>
      <c r="K39" s="718">
        <f>industrie!J22</f>
        <v>0.51163906426552275</v>
      </c>
      <c r="L39" s="718">
        <f>industrie!K22</f>
        <v>0</v>
      </c>
      <c r="M39" s="718">
        <f>industrie!L22</f>
        <v>0</v>
      </c>
      <c r="N39" s="718">
        <f>industrie!M22</f>
        <v>0</v>
      </c>
      <c r="O39" s="718">
        <f>industrie!N22</f>
        <v>0</v>
      </c>
      <c r="P39" s="718">
        <f>industrie!O22</f>
        <v>0</v>
      </c>
      <c r="Q39" s="828">
        <f>industrie!P22</f>
        <v>0</v>
      </c>
      <c r="R39" s="918">
        <f ca="1">SUM(C39:Q39)</f>
        <v>69707.538026273018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13873.610416393401</v>
      </c>
      <c r="D41" s="763">
        <f t="shared" ref="D41:R41" ca="1" si="4">SUM(D35:D40)</f>
        <v>41.37605042016807</v>
      </c>
      <c r="E41" s="763">
        <f t="shared" ca="1" si="4"/>
        <v>104863.70898914986</v>
      </c>
      <c r="F41" s="763">
        <f t="shared" si="4"/>
        <v>379.70536289946233</v>
      </c>
      <c r="G41" s="763">
        <f t="shared" ca="1" si="4"/>
        <v>1494.6446335650774</v>
      </c>
      <c r="H41" s="763">
        <f t="shared" si="4"/>
        <v>0</v>
      </c>
      <c r="I41" s="763">
        <f t="shared" si="4"/>
        <v>0</v>
      </c>
      <c r="J41" s="763">
        <f t="shared" si="4"/>
        <v>0</v>
      </c>
      <c r="K41" s="763">
        <f t="shared" si="4"/>
        <v>0.52679103830377472</v>
      </c>
      <c r="L41" s="763">
        <f t="shared" si="4"/>
        <v>0</v>
      </c>
      <c r="M41" s="763">
        <f t="shared" ca="1" si="4"/>
        <v>0</v>
      </c>
      <c r="N41" s="763">
        <f t="shared" si="4"/>
        <v>0</v>
      </c>
      <c r="O41" s="763">
        <f t="shared" ca="1" si="4"/>
        <v>0</v>
      </c>
      <c r="P41" s="763">
        <f t="shared" si="4"/>
        <v>0</v>
      </c>
      <c r="Q41" s="764">
        <f t="shared" si="4"/>
        <v>0</v>
      </c>
      <c r="R41" s="765">
        <f t="shared" ca="1" si="4"/>
        <v>120653.57224346627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339.11058875275734</v>
      </c>
      <c r="D44" s="718">
        <f ca="1">transport!C58</f>
        <v>0</v>
      </c>
      <c r="E44" s="718">
        <f>transport!D58</f>
        <v>0</v>
      </c>
      <c r="F44" s="718">
        <f>transport!E58</f>
        <v>0</v>
      </c>
      <c r="G44" s="718">
        <f>transport!F58</f>
        <v>0</v>
      </c>
      <c r="H44" s="718">
        <f>transport!G58</f>
        <v>626.89349903690788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966.00408778966516</v>
      </c>
    </row>
    <row r="45" spans="1:18" ht="15" thickBot="1">
      <c r="A45" s="888" t="s">
        <v>307</v>
      </c>
      <c r="B45" s="898"/>
      <c r="C45" s="727">
        <f ca="1">transport!B18</f>
        <v>5.4742927461839841</v>
      </c>
      <c r="D45" s="727">
        <f>transport!C18</f>
        <v>0</v>
      </c>
      <c r="E45" s="727">
        <f>transport!D18</f>
        <v>19.130556348483896</v>
      </c>
      <c r="F45" s="727">
        <f>transport!E18</f>
        <v>28.460055473655292</v>
      </c>
      <c r="G45" s="727">
        <f>transport!F18</f>
        <v>0</v>
      </c>
      <c r="H45" s="727">
        <f>transport!G18</f>
        <v>10966.005293580416</v>
      </c>
      <c r="I45" s="727">
        <f>transport!H18</f>
        <v>2650.6746645864646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13669.744862735204</v>
      </c>
    </row>
    <row r="46" spans="1:18" ht="15.75" thickBot="1">
      <c r="A46" s="886" t="s">
        <v>230</v>
      </c>
      <c r="B46" s="899"/>
      <c r="C46" s="763">
        <f t="shared" ref="C46:R46" ca="1" si="5">SUM(C43:C45)</f>
        <v>344.58488149894134</v>
      </c>
      <c r="D46" s="763">
        <f t="shared" ca="1" si="5"/>
        <v>0</v>
      </c>
      <c r="E46" s="763">
        <f t="shared" si="5"/>
        <v>19.130556348483896</v>
      </c>
      <c r="F46" s="763">
        <f t="shared" si="5"/>
        <v>28.460055473655292</v>
      </c>
      <c r="G46" s="763">
        <f t="shared" si="5"/>
        <v>0</v>
      </c>
      <c r="H46" s="763">
        <f t="shared" si="5"/>
        <v>11592.898792617323</v>
      </c>
      <c r="I46" s="763">
        <f t="shared" si="5"/>
        <v>2650.6746645864646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14635.748950524869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34.608776445609173</v>
      </c>
      <c r="D48" s="718">
        <f ca="1">+landbouw!C12</f>
        <v>0</v>
      </c>
      <c r="E48" s="718">
        <f>+landbouw!D12</f>
        <v>1122.0902238243129</v>
      </c>
      <c r="F48" s="718">
        <f>+landbouw!E12</f>
        <v>1.0876030827737184</v>
      </c>
      <c r="G48" s="718">
        <f>+landbouw!F12</f>
        <v>181.31124860423157</v>
      </c>
      <c r="H48" s="718">
        <f>+landbouw!G12</f>
        <v>0</v>
      </c>
      <c r="I48" s="718">
        <f>+landbouw!H12</f>
        <v>0</v>
      </c>
      <c r="J48" s="718">
        <f>+landbouw!I12</f>
        <v>0</v>
      </c>
      <c r="K48" s="718">
        <f>+landbouw!J12</f>
        <v>8.3600164513865689</v>
      </c>
      <c r="L48" s="718">
        <f>+landbouw!K12</f>
        <v>0</v>
      </c>
      <c r="M48" s="718">
        <f>+landbouw!L12</f>
        <v>0</v>
      </c>
      <c r="N48" s="718">
        <f>+landbouw!M12</f>
        <v>0</v>
      </c>
      <c r="O48" s="718">
        <f>+landbouw!N12</f>
        <v>0</v>
      </c>
      <c r="P48" s="718">
        <f>+landbouw!O12</f>
        <v>0</v>
      </c>
      <c r="Q48" s="719">
        <f>+landbouw!P12</f>
        <v>0</v>
      </c>
      <c r="R48" s="761">
        <f ca="1">SUM(C48:Q48)</f>
        <v>1347.4578684083142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14252.804074337953</v>
      </c>
      <c r="D53" s="773">
        <f t="shared" ref="D53:Q53" ca="1" si="6">D41+D46+D48</f>
        <v>41.37605042016807</v>
      </c>
      <c r="E53" s="773">
        <f t="shared" ca="1" si="6"/>
        <v>106004.92976932265</v>
      </c>
      <c r="F53" s="773">
        <f t="shared" si="6"/>
        <v>409.25302145589137</v>
      </c>
      <c r="G53" s="773">
        <f t="shared" ca="1" si="6"/>
        <v>1675.955882169309</v>
      </c>
      <c r="H53" s="773">
        <f t="shared" si="6"/>
        <v>11592.898792617323</v>
      </c>
      <c r="I53" s="773">
        <f t="shared" si="6"/>
        <v>2650.6746645864646</v>
      </c>
      <c r="J53" s="773">
        <f t="shared" si="6"/>
        <v>0</v>
      </c>
      <c r="K53" s="773">
        <f t="shared" si="6"/>
        <v>8.8868074896903444</v>
      </c>
      <c r="L53" s="773">
        <f t="shared" si="6"/>
        <v>0</v>
      </c>
      <c r="M53" s="773">
        <f t="shared" ca="1" si="6"/>
        <v>0</v>
      </c>
      <c r="N53" s="773">
        <f t="shared" si="6"/>
        <v>0</v>
      </c>
      <c r="O53" s="773">
        <f t="shared" ca="1" si="6"/>
        <v>0</v>
      </c>
      <c r="P53" s="773">
        <f>P41+P46+P48</f>
        <v>0</v>
      </c>
      <c r="Q53" s="774">
        <f t="shared" si="6"/>
        <v>0</v>
      </c>
      <c r="R53" s="775">
        <f ca="1">R41+R46+R48</f>
        <v>136636.77906239947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0.21231779273005758</v>
      </c>
      <c r="D55" s="836">
        <f t="shared" ca="1" si="7"/>
        <v>0.23764705882352943</v>
      </c>
      <c r="E55" s="836">
        <f t="shared" ca="1" si="7"/>
        <v>0.20199999999999999</v>
      </c>
      <c r="F55" s="836">
        <f t="shared" si="7"/>
        <v>0.22700000000000006</v>
      </c>
      <c r="G55" s="836">
        <f t="shared" ca="1" si="7"/>
        <v>0.26700000000000007</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2646.4333959863416</v>
      </c>
      <c r="C66" s="795">
        <f>'lokale energieproductie'!B6</f>
        <v>2646.4333959863416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121.875</v>
      </c>
      <c r="C67" s="794">
        <f>B67*IFERROR(SUM(J67:L67)/SUM(D67:M67),0)</f>
        <v>0</v>
      </c>
      <c r="D67" s="826">
        <f>'lokale energieproductie'!C7</f>
        <v>143.38235294117646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28.963235294117649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2768.3083959863416</v>
      </c>
      <c r="C69" s="803">
        <f>SUM(C64:C68)</f>
        <v>2646.4333959863416</v>
      </c>
      <c r="D69" s="804">
        <f t="shared" ref="D69:M69" si="8">SUM(D67:D68)</f>
        <v>143.38235294117646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28.963235294117649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174.10714285714286</v>
      </c>
      <c r="C78" s="817">
        <f>B78*IFERROR(SUM(I78:L78)/SUM(D78:M78),0)</f>
        <v>0</v>
      </c>
      <c r="D78" s="832">
        <f>'lokale energieproductie'!C16</f>
        <v>204.83193277310923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41.37605042016807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174.10714285714286</v>
      </c>
      <c r="C81" s="803">
        <f>SUM(C78:C80)</f>
        <v>0</v>
      </c>
      <c r="D81" s="803">
        <f t="shared" ref="D81:P81" si="9">SUM(D78:D80)</f>
        <v>204.83193277310923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41.37605042016807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35141.306542403821</v>
      </c>
      <c r="C4" s="478">
        <f>huishoudens!C8</f>
        <v>0</v>
      </c>
      <c r="D4" s="478">
        <f>huishoudens!D8</f>
        <v>129789.06716907522</v>
      </c>
      <c r="E4" s="478">
        <f>huishoudens!E8</f>
        <v>918.21285492563823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6454.0153485145411</v>
      </c>
      <c r="O4" s="478">
        <f>huishoudens!O8</f>
        <v>195.41666666666669</v>
      </c>
      <c r="P4" s="479">
        <f>huishoudens!P8</f>
        <v>552.93333333333339</v>
      </c>
      <c r="Q4" s="480">
        <f>SUM(B4:P4)</f>
        <v>173050.95191491919</v>
      </c>
    </row>
    <row r="5" spans="1:17">
      <c r="A5" s="477" t="s">
        <v>156</v>
      </c>
      <c r="B5" s="478">
        <f ca="1">tertiair!B16</f>
        <v>27195.818325083917</v>
      </c>
      <c r="C5" s="478">
        <f ca="1">tertiair!C16</f>
        <v>174.10714285714286</v>
      </c>
      <c r="D5" s="478">
        <f ca="1">tertiair!D16</f>
        <v>48016.679549495973</v>
      </c>
      <c r="E5" s="478">
        <f>tertiair!E16</f>
        <v>390.81084575129859</v>
      </c>
      <c r="F5" s="478">
        <f ca="1">tertiair!F16</f>
        <v>4561.4860576549154</v>
      </c>
      <c r="G5" s="478">
        <f>tertiair!G16</f>
        <v>0</v>
      </c>
      <c r="H5" s="478">
        <f>tertiair!H16</f>
        <v>0</v>
      </c>
      <c r="I5" s="478">
        <f>tertiair!I16</f>
        <v>0</v>
      </c>
      <c r="J5" s="478">
        <f>tertiair!J16</f>
        <v>4.2802186548734328E-2</v>
      </c>
      <c r="K5" s="478">
        <f>tertiair!K16</f>
        <v>0</v>
      </c>
      <c r="L5" s="478">
        <f ca="1">tertiair!L16</f>
        <v>0</v>
      </c>
      <c r="M5" s="478">
        <f>tertiair!M16</f>
        <v>0</v>
      </c>
      <c r="N5" s="478">
        <f ca="1">tertiair!N16</f>
        <v>1745.069309429346</v>
      </c>
      <c r="O5" s="478">
        <f>tertiair!O16</f>
        <v>0</v>
      </c>
      <c r="P5" s="479">
        <f>tertiair!P16</f>
        <v>0</v>
      </c>
      <c r="Q5" s="477">
        <f t="shared" ref="Q5:Q13" ca="1" si="0">SUM(B5:P5)</f>
        <v>82084.014032459148</v>
      </c>
    </row>
    <row r="6" spans="1:17">
      <c r="A6" s="477" t="s">
        <v>194</v>
      </c>
      <c r="B6" s="478">
        <f>'openbare verlichting'!B8</f>
        <v>1118.777</v>
      </c>
      <c r="C6" s="478"/>
      <c r="D6" s="478"/>
      <c r="E6" s="478"/>
      <c r="F6" s="478"/>
      <c r="G6" s="478"/>
      <c r="H6" s="478"/>
      <c r="I6" s="478"/>
      <c r="J6" s="478"/>
      <c r="K6" s="478"/>
      <c r="L6" s="478"/>
      <c r="M6" s="478"/>
      <c r="N6" s="478"/>
      <c r="O6" s="478"/>
      <c r="P6" s="479"/>
      <c r="Q6" s="477">
        <f t="shared" si="0"/>
        <v>1118.777</v>
      </c>
    </row>
    <row r="7" spans="1:17">
      <c r="A7" s="477" t="s">
        <v>112</v>
      </c>
      <c r="B7" s="478">
        <f>landbouw!B8</f>
        <v>163.004597968909</v>
      </c>
      <c r="C7" s="478">
        <f>landbouw!C8</f>
        <v>0</v>
      </c>
      <c r="D7" s="478">
        <f>landbouw!D8</f>
        <v>5554.9020981401627</v>
      </c>
      <c r="E7" s="478">
        <f>landbouw!E8</f>
        <v>4.7912030078137375</v>
      </c>
      <c r="F7" s="478">
        <f>landbouw!F8</f>
        <v>679.06834683232796</v>
      </c>
      <c r="G7" s="478">
        <f>landbouw!G8</f>
        <v>0</v>
      </c>
      <c r="H7" s="478">
        <f>landbouw!H8</f>
        <v>0</v>
      </c>
      <c r="I7" s="478">
        <f>landbouw!I8</f>
        <v>0</v>
      </c>
      <c r="J7" s="478">
        <f>landbouw!J8</f>
        <v>23.615865681882966</v>
      </c>
      <c r="K7" s="478">
        <f>landbouw!K8</f>
        <v>0</v>
      </c>
      <c r="L7" s="478">
        <f>landbouw!L8</f>
        <v>0</v>
      </c>
      <c r="M7" s="478">
        <f>landbouw!M8</f>
        <v>0</v>
      </c>
      <c r="N7" s="478">
        <f>landbouw!N8</f>
        <v>0</v>
      </c>
      <c r="O7" s="478">
        <f>landbouw!O8</f>
        <v>0</v>
      </c>
      <c r="P7" s="479">
        <f>landbouw!P8</f>
        <v>0</v>
      </c>
      <c r="Q7" s="477">
        <f t="shared" si="0"/>
        <v>6425.3821116310974</v>
      </c>
    </row>
    <row r="8" spans="1:17">
      <c r="A8" s="477" t="s">
        <v>635</v>
      </c>
      <c r="B8" s="478">
        <f>industrie!B18</f>
        <v>1887.7051755282837</v>
      </c>
      <c r="C8" s="478">
        <f>industrie!C18</f>
        <v>0</v>
      </c>
      <c r="D8" s="478">
        <f>industrie!D18</f>
        <v>341321.52550494293</v>
      </c>
      <c r="E8" s="478">
        <f>industrie!E18</f>
        <v>363.68714910042991</v>
      </c>
      <c r="F8" s="478">
        <f>industrie!F18</f>
        <v>1036.4339182442504</v>
      </c>
      <c r="G8" s="478">
        <f>industrie!G18</f>
        <v>0</v>
      </c>
      <c r="H8" s="478">
        <f>industrie!H18</f>
        <v>0</v>
      </c>
      <c r="I8" s="478">
        <f>industrie!I18</f>
        <v>0</v>
      </c>
      <c r="J8" s="478">
        <f>industrie!J18</f>
        <v>1.4453080911455445</v>
      </c>
      <c r="K8" s="478">
        <f>industrie!K18</f>
        <v>0</v>
      </c>
      <c r="L8" s="478">
        <f>industrie!L18</f>
        <v>0</v>
      </c>
      <c r="M8" s="478">
        <f>industrie!M18</f>
        <v>0</v>
      </c>
      <c r="N8" s="478">
        <f>industrie!N18</f>
        <v>566.38433993565297</v>
      </c>
      <c r="O8" s="478">
        <f>industrie!O18</f>
        <v>0</v>
      </c>
      <c r="P8" s="479">
        <f>industrie!P18</f>
        <v>0</v>
      </c>
      <c r="Q8" s="477">
        <f t="shared" si="0"/>
        <v>345177.18139584269</v>
      </c>
    </row>
    <row r="9" spans="1:17" s="483" customFormat="1">
      <c r="A9" s="481" t="s">
        <v>561</v>
      </c>
      <c r="B9" s="482">
        <f>transport!B14</f>
        <v>25.783485575059849</v>
      </c>
      <c r="C9" s="482">
        <f>transport!C14</f>
        <v>0</v>
      </c>
      <c r="D9" s="482">
        <f>transport!D14</f>
        <v>94.705724497445019</v>
      </c>
      <c r="E9" s="482">
        <f>transport!E14</f>
        <v>125.37469371654313</v>
      </c>
      <c r="F9" s="482">
        <f>transport!F14</f>
        <v>0</v>
      </c>
      <c r="G9" s="482">
        <f>transport!G14</f>
        <v>41071.180874833015</v>
      </c>
      <c r="H9" s="482">
        <f>transport!H14</f>
        <v>10645.27977745568</v>
      </c>
      <c r="I9" s="482">
        <f>transport!I14</f>
        <v>0</v>
      </c>
      <c r="J9" s="482">
        <f>transport!J14</f>
        <v>0</v>
      </c>
      <c r="K9" s="482">
        <f>transport!K14</f>
        <v>0</v>
      </c>
      <c r="L9" s="482">
        <f>transport!L14</f>
        <v>0</v>
      </c>
      <c r="M9" s="482">
        <f>transport!M14</f>
        <v>2715.5396215253772</v>
      </c>
      <c r="N9" s="482">
        <f>transport!N14</f>
        <v>0</v>
      </c>
      <c r="O9" s="482">
        <f>transport!O14</f>
        <v>0</v>
      </c>
      <c r="P9" s="482">
        <f>transport!P14</f>
        <v>0</v>
      </c>
      <c r="Q9" s="481">
        <f>SUM(B9:P9)</f>
        <v>54677.864177603122</v>
      </c>
    </row>
    <row r="10" spans="1:17">
      <c r="A10" s="477" t="s">
        <v>551</v>
      </c>
      <c r="B10" s="478">
        <f>transport!B54</f>
        <v>1597.184034330581</v>
      </c>
      <c r="C10" s="478">
        <f>transport!C54</f>
        <v>0</v>
      </c>
      <c r="D10" s="478">
        <f>transport!D54</f>
        <v>0</v>
      </c>
      <c r="E10" s="478">
        <f>transport!E54</f>
        <v>0</v>
      </c>
      <c r="F10" s="478">
        <f>transport!F54</f>
        <v>0</v>
      </c>
      <c r="G10" s="478">
        <f>transport!G54</f>
        <v>2347.915726729992</v>
      </c>
      <c r="H10" s="478">
        <f>transport!H54</f>
        <v>0</v>
      </c>
      <c r="I10" s="478">
        <f>transport!I54</f>
        <v>0</v>
      </c>
      <c r="J10" s="478">
        <f>transport!J54</f>
        <v>0</v>
      </c>
      <c r="K10" s="478">
        <f>transport!K54</f>
        <v>0</v>
      </c>
      <c r="L10" s="478">
        <f>transport!L54</f>
        <v>0</v>
      </c>
      <c r="M10" s="478">
        <f>transport!M54</f>
        <v>133.35124822494336</v>
      </c>
      <c r="N10" s="478">
        <f>transport!N54</f>
        <v>0</v>
      </c>
      <c r="O10" s="478">
        <f>transport!O54</f>
        <v>0</v>
      </c>
      <c r="P10" s="479">
        <f>transport!P54</f>
        <v>0</v>
      </c>
      <c r="Q10" s="477">
        <f t="shared" si="0"/>
        <v>4078.4510092855162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67129.579160890571</v>
      </c>
      <c r="C14" s="488">
        <f t="shared" ref="C14:Q14" ca="1" si="1">SUM(C4:C13)</f>
        <v>174.10714285714286</v>
      </c>
      <c r="D14" s="488">
        <f t="shared" ca="1" si="1"/>
        <v>524776.88004615169</v>
      </c>
      <c r="E14" s="488">
        <f t="shared" si="1"/>
        <v>1802.8767465017236</v>
      </c>
      <c r="F14" s="488">
        <f t="shared" ca="1" si="1"/>
        <v>6276.9883227314931</v>
      </c>
      <c r="G14" s="488">
        <f t="shared" si="1"/>
        <v>43419.096601563004</v>
      </c>
      <c r="H14" s="488">
        <f t="shared" si="1"/>
        <v>10645.27977745568</v>
      </c>
      <c r="I14" s="488">
        <f t="shared" si="1"/>
        <v>0</v>
      </c>
      <c r="J14" s="488">
        <f t="shared" si="1"/>
        <v>25.103975959577244</v>
      </c>
      <c r="K14" s="488">
        <f t="shared" si="1"/>
        <v>0</v>
      </c>
      <c r="L14" s="488">
        <f t="shared" ca="1" si="1"/>
        <v>0</v>
      </c>
      <c r="M14" s="488">
        <f t="shared" si="1"/>
        <v>2848.8908697503207</v>
      </c>
      <c r="N14" s="488">
        <f t="shared" ca="1" si="1"/>
        <v>8765.4689978795413</v>
      </c>
      <c r="O14" s="488">
        <f t="shared" si="1"/>
        <v>195.41666666666669</v>
      </c>
      <c r="P14" s="489">
        <f t="shared" si="1"/>
        <v>552.93333333333339</v>
      </c>
      <c r="Q14" s="489">
        <f t="shared" ca="1" si="1"/>
        <v>666612.62164174078</v>
      </c>
    </row>
    <row r="16" spans="1:17">
      <c r="A16" s="491" t="s">
        <v>556</v>
      </c>
      <c r="B16" s="841">
        <f ca="1">huishoudens!B10</f>
        <v>0.21231779273005749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7461.1246387335077</v>
      </c>
      <c r="C21" s="478">
        <f t="shared" ref="C21:C30" ca="1" si="3">C4*$C$16</f>
        <v>0</v>
      </c>
      <c r="D21" s="478">
        <f t="shared" ref="D21:D30" si="4">D4*$D$16</f>
        <v>26217.391568153198</v>
      </c>
      <c r="E21" s="478">
        <f t="shared" ref="E21:E30" si="5">E4*$E$16</f>
        <v>208.43431806811989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33886.950524954824</v>
      </c>
    </row>
    <row r="22" spans="1:17">
      <c r="A22" s="477" t="s">
        <v>156</v>
      </c>
      <c r="B22" s="478">
        <f t="shared" ca="1" si="2"/>
        <v>5774.1561182694668</v>
      </c>
      <c r="C22" s="478">
        <f t="shared" ca="1" si="3"/>
        <v>41.37605042016807</v>
      </c>
      <c r="D22" s="478">
        <f t="shared" ca="1" si="4"/>
        <v>9699.3692689981872</v>
      </c>
      <c r="E22" s="478">
        <f t="shared" si="5"/>
        <v>88.714061985544788</v>
      </c>
      <c r="F22" s="478">
        <f t="shared" ca="1" si="6"/>
        <v>1217.9167773938625</v>
      </c>
      <c r="G22" s="478">
        <f t="shared" si="7"/>
        <v>0</v>
      </c>
      <c r="H22" s="478">
        <f t="shared" si="8"/>
        <v>0</v>
      </c>
      <c r="I22" s="478">
        <f t="shared" si="9"/>
        <v>0</v>
      </c>
      <c r="J22" s="478">
        <f t="shared" si="10"/>
        <v>1.5151974038251951E-2</v>
      </c>
      <c r="K22" s="478">
        <f t="shared" si="11"/>
        <v>0</v>
      </c>
      <c r="L22" s="478">
        <f t="shared" ca="1" si="12"/>
        <v>0</v>
      </c>
      <c r="M22" s="478">
        <f t="shared" si="13"/>
        <v>0</v>
      </c>
      <c r="N22" s="478">
        <f t="shared" ca="1" si="14"/>
        <v>0</v>
      </c>
      <c r="O22" s="478">
        <f t="shared" si="15"/>
        <v>0</v>
      </c>
      <c r="P22" s="479">
        <f t="shared" si="16"/>
        <v>0</v>
      </c>
      <c r="Q22" s="477">
        <f t="shared" ref="Q22:Q30" ca="1" si="17">SUM(B22:P22)</f>
        <v>16821.547429041268</v>
      </c>
    </row>
    <row r="23" spans="1:17">
      <c r="A23" s="477" t="s">
        <v>194</v>
      </c>
      <c r="B23" s="478">
        <f t="shared" ca="1" si="2"/>
        <v>237.53626319715553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237.53626319715553</v>
      </c>
    </row>
    <row r="24" spans="1:17">
      <c r="A24" s="477" t="s">
        <v>112</v>
      </c>
      <c r="B24" s="478">
        <f t="shared" ca="1" si="2"/>
        <v>34.608776445609173</v>
      </c>
      <c r="C24" s="478">
        <f t="shared" ca="1" si="3"/>
        <v>0</v>
      </c>
      <c r="D24" s="478">
        <f t="shared" si="4"/>
        <v>1122.0902238243129</v>
      </c>
      <c r="E24" s="478">
        <f t="shared" si="5"/>
        <v>1.0876030827737184</v>
      </c>
      <c r="F24" s="478">
        <f t="shared" si="6"/>
        <v>181.31124860423157</v>
      </c>
      <c r="G24" s="478">
        <f t="shared" si="7"/>
        <v>0</v>
      </c>
      <c r="H24" s="478">
        <f t="shared" si="8"/>
        <v>0</v>
      </c>
      <c r="I24" s="478">
        <f t="shared" si="9"/>
        <v>0</v>
      </c>
      <c r="J24" s="478">
        <f t="shared" si="10"/>
        <v>8.3600164513865689</v>
      </c>
      <c r="K24" s="478">
        <f t="shared" si="11"/>
        <v>0</v>
      </c>
      <c r="L24" s="478">
        <f t="shared" si="12"/>
        <v>0</v>
      </c>
      <c r="M24" s="478">
        <f t="shared" si="13"/>
        <v>0</v>
      </c>
      <c r="N24" s="478">
        <f t="shared" si="14"/>
        <v>0</v>
      </c>
      <c r="O24" s="478">
        <f t="shared" si="15"/>
        <v>0</v>
      </c>
      <c r="P24" s="479">
        <f t="shared" si="16"/>
        <v>0</v>
      </c>
      <c r="Q24" s="477">
        <f t="shared" ca="1" si="17"/>
        <v>1347.4578684083142</v>
      </c>
    </row>
    <row r="25" spans="1:17">
      <c r="A25" s="477" t="s">
        <v>635</v>
      </c>
      <c r="B25" s="478">
        <f t="shared" ca="1" si="2"/>
        <v>400.79339619327095</v>
      </c>
      <c r="C25" s="478">
        <f t="shared" ca="1" si="3"/>
        <v>0</v>
      </c>
      <c r="D25" s="478">
        <f t="shared" si="4"/>
        <v>68946.948151998469</v>
      </c>
      <c r="E25" s="478">
        <f t="shared" si="5"/>
        <v>82.556982845797592</v>
      </c>
      <c r="F25" s="478">
        <f t="shared" si="6"/>
        <v>276.72785617121491</v>
      </c>
      <c r="G25" s="478">
        <f t="shared" si="7"/>
        <v>0</v>
      </c>
      <c r="H25" s="478">
        <f t="shared" si="8"/>
        <v>0</v>
      </c>
      <c r="I25" s="478">
        <f t="shared" si="9"/>
        <v>0</v>
      </c>
      <c r="J25" s="478">
        <f t="shared" si="10"/>
        <v>0.51163906426552275</v>
      </c>
      <c r="K25" s="478">
        <f t="shared" si="11"/>
        <v>0</v>
      </c>
      <c r="L25" s="478">
        <f t="shared" si="12"/>
        <v>0</v>
      </c>
      <c r="M25" s="478">
        <f t="shared" si="13"/>
        <v>0</v>
      </c>
      <c r="N25" s="478">
        <f t="shared" si="14"/>
        <v>0</v>
      </c>
      <c r="O25" s="478">
        <f t="shared" si="15"/>
        <v>0</v>
      </c>
      <c r="P25" s="479">
        <f t="shared" si="16"/>
        <v>0</v>
      </c>
      <c r="Q25" s="477">
        <f t="shared" ca="1" si="17"/>
        <v>69707.538026273018</v>
      </c>
    </row>
    <row r="26" spans="1:17" s="483" customFormat="1">
      <c r="A26" s="481" t="s">
        <v>561</v>
      </c>
      <c r="B26" s="835">
        <f t="shared" ca="1" si="2"/>
        <v>5.4742927461839841</v>
      </c>
      <c r="C26" s="482">
        <f t="shared" ca="1" si="3"/>
        <v>0</v>
      </c>
      <c r="D26" s="482">
        <f t="shared" si="4"/>
        <v>19.130556348483896</v>
      </c>
      <c r="E26" s="482">
        <f t="shared" si="5"/>
        <v>28.460055473655292</v>
      </c>
      <c r="F26" s="482">
        <f t="shared" si="6"/>
        <v>0</v>
      </c>
      <c r="G26" s="482">
        <f t="shared" si="7"/>
        <v>10966.005293580416</v>
      </c>
      <c r="H26" s="482">
        <f t="shared" si="8"/>
        <v>2650.6746645864646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13669.744862735204</v>
      </c>
    </row>
    <row r="27" spans="1:17">
      <c r="A27" s="477" t="s">
        <v>551</v>
      </c>
      <c r="B27" s="478">
        <f t="shared" ca="1" si="2"/>
        <v>339.11058875275734</v>
      </c>
      <c r="C27" s="478">
        <f t="shared" ca="1" si="3"/>
        <v>0</v>
      </c>
      <c r="D27" s="478">
        <f t="shared" si="4"/>
        <v>0</v>
      </c>
      <c r="E27" s="478">
        <f t="shared" si="5"/>
        <v>0</v>
      </c>
      <c r="F27" s="478">
        <f t="shared" si="6"/>
        <v>0</v>
      </c>
      <c r="G27" s="478">
        <f t="shared" si="7"/>
        <v>626.89349903690788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966.00408778966516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14252.804074337952</v>
      </c>
      <c r="C31" s="488">
        <f t="shared" ca="1" si="18"/>
        <v>41.37605042016807</v>
      </c>
      <c r="D31" s="488">
        <f t="shared" ca="1" si="18"/>
        <v>106004.92976932265</v>
      </c>
      <c r="E31" s="488">
        <f t="shared" si="18"/>
        <v>409.25302145589137</v>
      </c>
      <c r="F31" s="488">
        <f t="shared" ca="1" si="18"/>
        <v>1675.955882169309</v>
      </c>
      <c r="G31" s="488">
        <f t="shared" si="18"/>
        <v>11592.898792617323</v>
      </c>
      <c r="H31" s="488">
        <f t="shared" si="18"/>
        <v>2650.6746645864646</v>
      </c>
      <c r="I31" s="488">
        <f t="shared" si="18"/>
        <v>0</v>
      </c>
      <c r="J31" s="488">
        <f t="shared" si="18"/>
        <v>8.8868074896903444</v>
      </c>
      <c r="K31" s="488">
        <f t="shared" si="18"/>
        <v>0</v>
      </c>
      <c r="L31" s="488">
        <f t="shared" ca="1" si="18"/>
        <v>0</v>
      </c>
      <c r="M31" s="488">
        <f t="shared" si="18"/>
        <v>0</v>
      </c>
      <c r="N31" s="488">
        <f t="shared" ca="1" si="18"/>
        <v>0</v>
      </c>
      <c r="O31" s="488">
        <f t="shared" si="18"/>
        <v>0</v>
      </c>
      <c r="P31" s="489">
        <f t="shared" si="18"/>
        <v>0</v>
      </c>
      <c r="Q31" s="489">
        <f t="shared" ca="1" si="18"/>
        <v>136636.77906239944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0.21231779273005749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0.21231779273005749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0.21231779273005749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2018-09-06T12:45:51Z</dcterms:modified>
</cp:coreProperties>
</file>