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I14"/>
  <c r="E7"/>
  <c r="E24" s="1"/>
  <c r="P31"/>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F8" i="48"/>
  <c r="Q4"/>
  <c r="N22"/>
  <c r="R11" i="14"/>
  <c r="J21" i="48"/>
  <c r="R10" i="14"/>
  <c r="O13" l="1"/>
  <c r="O15" s="1"/>
  <c r="Q5" i="48"/>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<sst xmlns="http://schemas.openxmlformats.org/spreadsheetml/2006/main" count="1914" uniqueCount="809">
  <si>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</si>
  <si>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</si>
  <si>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</si>
  <si>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</si>
  <si>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</si>
  <si>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</si>
  <si>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</si>
  <si>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</si>
  <si>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</si>
  <si>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</si>
  <si>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</si>
  <si>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</si>
  <si>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</si>
  <si>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</si>
  <si>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</si>
  <si>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</si>
  <si>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</si>
  <si>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</si>
  <si>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</si>
  <si>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</si>
  <si>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</si>
  <si>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</si>
  <si>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</si>
  <si>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</si>
  <si>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</si>
  <si>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</si>
  <si>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</si>
  <si>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</si>
  <si>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</si>
  <si>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</si>
  <si>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</si>
  <si>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</si>
  <si>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</si>
  <si>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</si>
  <si>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</si>
  <si>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</si>
  <si>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</si>
  <si>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</si>
  <si>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</si>
  <si>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</si>
  <si>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</si>
  <si>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</si>
  <si>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</si>
  <si>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</si>
  <si>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</si>
  <si>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</si>
  <si>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</si>
  <si>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</si>
  <si>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</si>
  <si>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</si>
  <si>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</si>
  <si>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</si>
  <si>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</si>
  <si>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</si>
  <si>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</si>
  <si>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</si>
  <si>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</si>
  <si>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</si>
  <si>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</si>
  <si>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</si>
  <si>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</si>
  <si>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</si>
  <si>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</si>
  <si>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</si>
  <si>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</si>
  <si>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</si>
  <si>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</si>
  <si>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</si>
  <si>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</si>
  <si>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</si>
  <si>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</si>
  <si>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</si>
  <si>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</si>
  <si>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</si>
  <si>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</si>
  <si>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</si>
  <si>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</si>
  <si>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</si>
  <si>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</si>
  <si>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</si>
  <si>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</si>
  <si>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</si>
  <si>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</si>
  <si>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</si>
  <si>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</si>
  <si>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</si>
  <si>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</si>
  <si>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</si>
  <si>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</si>
  <si>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</si>
  <si>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</si>
  <si>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</si>
  <si>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</si>
  <si>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</si>
  <si>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</si>
  <si>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</si>
  <si>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</si>
  <si>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</si>
  <si>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</si>
  <si>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</si>
  <si>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</si>
  <si>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</si>
  <si>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</si>
  <si>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</si>
  <si>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</si>
  <si>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</si>
  <si>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</si>
  <si>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</si>
  <si>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</si>
  <si>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</si>
  <si>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</si>
  <si>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</si>
  <si>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</si>
  <si>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</si>
  <si>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</si>
  <si>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</si>
  <si>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</si>
  <si>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</si>
  <si>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</si>
  <si>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</si>
  <si>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</si>
  <si>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</si>
  <si>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</si>
  <si>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</si>
  <si>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</si>
  <si>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</si>
  <si>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</si>
  <si>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</si>
  <si>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</si>
  <si>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</si>
  <si>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</si>
  <si>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</si>
  <si>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</si>
  <si>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</si>
  <si>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</si>
  <si>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</si>
  <si>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</si>
  <si>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</si>
  <si>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</si>
  <si>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</si>
  <si>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</si>
  <si>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</si>
  <si>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</si>
  <si>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</si>
  <si>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</si>
  <si>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</si>
  <si>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</si>
  <si>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</si>
  <si>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</si>
  <si>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</si>
  <si>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</si>
  <si>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</si>
  <si>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</si>
  <si>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</si>
  <si>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</si>
  <si>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</si>
  <si>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</si>
  <si>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</si>
  <si>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</si>
  <si>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</si>
  <si>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</si>
  <si>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</si>
  <si>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</si>
  <si>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</si>
  <si>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</si>
  <si>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</si>
  <si>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</si>
  <si>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</si>
  <si>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</si>
  <si>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</si>
  <si>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</si>
  <si>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</si>
  <si>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</si>
  <si>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</si>
  <si>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</si>
  <si>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</si>
  <si>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</si>
  <si>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</si>
  <si>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</si>
  <si>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</si>
  <si>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</si>
  <si>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</si>
  <si>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</si>
  <si>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</si>
  <si>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</si>
  <si>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</si>
  <si>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</si>
  <si>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</si>
  <si>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</si>
  <si>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</si>
  <si>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</si>
  <si>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</si>
  <si>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</si>
  <si>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</si>
  <si>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</si>
  <si>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</si>
  <si>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</si>
  <si>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</si>
  <si>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</si>
  <si>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</si>
  <si>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</si>
  <si>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</si>
  <si>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</si>
  <si>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</si>
  <si>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</si>
  <si>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</si>
  <si>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</si>
  <si>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</si>
  <si>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</si>
  <si>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</si>
  <si>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</si>
  <si>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</si>
  <si>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</si>
  <si>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</si>
  <si>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</si>
  <si>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</si>
  <si>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</si>
  <si>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</si>
  <si>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</si>
  <si>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</si>
  <si>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</si>
  <si>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</si>
  <si>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</si>
  <si>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</si>
  <si>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</si>
  <si>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</si>
  <si>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</si>
  <si>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</si>
  <si>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</si>
  <si>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</si>
  <si>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</si>
  <si>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</si>
  <si>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</si>
  <si>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</si>
  <si>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</si>
  <si>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</si>
  <si>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</si>
  <si>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</si>
  <si>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</si>
  <si>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</si>
  <si>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</si>
  <si>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</si>
  <si>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</si>
  <si>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</si>
  <si>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</si>
  <si>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</si>
  <si>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</si>
  <si>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</si>
  <si>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</si>
  <si>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</si>
  <si>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</si>
  <si>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</si>
  <si>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</si>
  <si>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</si>
  <si>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</si>
  <si>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</si>
  <si>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</si>
  <si>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</si>
  <si>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</si>
  <si>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</si>
  <si>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</si>
  <si>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</si>
  <si>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</si>
  <si>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</si>
  <si>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</si>
  <si>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</si>
  <si>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</si>
  <si>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</si>
  <si>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</si>
  <si>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</si>
  <si>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</si>
  <si>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</si>
  <si>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</si>
  <si>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</si>
  <si>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</si>
  <si>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</si>
  <si>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</si>
  <si>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</si>
  <si>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</si>
  <si>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</si>
  <si>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</si>
  <si>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</si>
  <si>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</si>
  <si>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</si>
  <si>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</si>
  <si>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</si>
  <si>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</si>
  <si>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</si>
  <si>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</si>
  <si>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</si>
  <si>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</si>
  <si>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</si>
  <si>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</si>
  <si>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</si>
  <si>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</si>
  <si>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</si>
  <si>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</si>
  <si>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</si>
  <si>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</si>
  <si>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</si>
  <si>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</si>
  <si>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</si>
  <si>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</si>
  <si>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</si>
  <si>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</si>
  <si>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</si>
  <si>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</si>
  <si>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</si>
  <si>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</si>
  <si>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</si>
  <si>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</si>
  <si>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</si>
  <si>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</si>
  <si>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</si>
  <si>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</si>
  <si>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</si>
  <si>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</si>
  <si>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</si>
  <si>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</si>
  <si>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</si>
  <si>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</si>
  <si>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</si>
  <si>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</si>
  <si>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</si>
  <si>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</si>
  <si>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</si>
  <si>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</si>
  <si>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</si>
  <si>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</si>
  <si>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</si>
  <si>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</si>
  <si>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</si>
  <si>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</si>
  <si>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</si>
  <si>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</si>
  <si>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</si>
  <si>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</si>
  <si>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</si>
  <si>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</si>
  <si>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</si>
  <si>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</si>
  <si>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</si>
  <si>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</si>
  <si>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</si>
  <si>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</si>
  <si>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</si>
  <si>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</si>
  <si>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</si>
  <si>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</si>
  <si>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</si>
  <si>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</si>
  <si>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</si>
  <si>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</si>
  <si>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</si>
  <si>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</si>
  <si>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</si>
  <si>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</si>
  <si>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</si>
  <si>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</si>
  <si>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</si>
  <si>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</si>
  <si>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</si>
  <si>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</si>
  <si>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</si>
  <si>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</si>
  <si>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</si>
  <si>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</si>
  <si>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</si>
  <si>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</si>
  <si>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</si>
  <si>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</si>
  <si>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</si>
  <si>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</si>
  <si>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</si>
  <si>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</si>
  <si>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</si>
  <si>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</si>
  <si>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</si>
  <si>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</si>
  <si>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</si>
  <si>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</si>
  <si>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</si>
  <si>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</si>
  <si>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</si>
  <si>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</si>
  <si>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</si>
  <si>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</si>
  <si>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</si>
  <si>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</si>
  <si>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</si>
  <si>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</si>
  <si>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</si>
  <si>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</si>
  <si>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</si>
  <si>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</si>
  <si>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</si>
  <si>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</si>
  <si>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</si>
  <si>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</si>
  <si>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</si>
  <si>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</si>
  <si>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</si>
  <si>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</si>
  <si>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</si>
  <si>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</si>
  <si>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</si>
  <si>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</si>
  <si>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</si>
  <si>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</si>
  <si>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</si>
  <si>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</si>
  <si>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</si>
  <si>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</si>
  <si>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</si>
  <si>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</si>
  <si>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</si>
  <si>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</si>
  <si>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</si>
  <si>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</si>
  <si>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</si>
  <si>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</si>
  <si>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</si>
  <si>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</si>
  <si>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</si>
  <si>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</si>
  <si>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</si>
  <si>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</si>
  <si>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</si>
  <si>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</si>
  <si>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</si>
  <si>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</si>
  <si>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</si>
  <si>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</si>
  <si>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</si>
  <si>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</si>
  <si>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</si>
  <si>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</si>
  <si>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</si>
  <si>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</si>
  <si>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</si>
  <si>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</si>
  <si>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</si>
  <si>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</si>
  <si>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</si>
  <si>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</si>
  <si>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</si>
  <si>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</si>
  <si>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</si>
  <si>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</si>
  <si>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</si>
  <si>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</si>
  <si>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</si>
  <si>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</si>
  <si>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</si>
  <si>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</si>
  <si>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</si>
  <si>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</si>
  <si>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</si>
  <si>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</si>
  <si>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</si>
  <si>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</si>
  <si>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</si>
  <si>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</si>
  <si>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</si>
  <si>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</si>
  <si>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</si>
  <si>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</si>
  <si>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</si>
  <si>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</si>
  <si>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</si>
  <si>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</si>
  <si>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</si>
  <si>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</si>
  <si>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</si>
  <si>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</si>
  <si>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</si>
  <si>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</si>
  <si>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</si>
  <si>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</si>
  <si>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</si>
  <si>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</si>
  <si>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</si>
  <si>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</si>
  <si>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</si>
  <si>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</si>
  <si>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</si>
  <si>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</si>
  <si>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</si>
  <si>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</si>
  <si>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</si>
  <si>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</si>
  <si>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</si>
  <si>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</si>
  <si>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</si>
  <si>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</si>
  <si>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</si>
  <si>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</si>
  <si>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</si>
  <si>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</si>
  <si>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</si>
  <si>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</si>
  <si>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</si>
  <si>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</si>
  <si>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</si>
  <si>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</si>
  <si>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</si>
  <si>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</si>
  <si>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</si>
  <si>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</si>
  <si>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</si>
  <si>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</si>
  <si>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</si>
  <si>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</si>
  <si>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</si>
  <si>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</si>
  <si>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</si>
  <si>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</si>
  <si>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</si>
  <si>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</si>
  <si>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</si>
  <si>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</si>
  <si>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</si>
  <si>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</si>
  <si>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</si>
  <si>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</si>
  <si>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</si>
  <si>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</si>
  <si>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</si>
  <si>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</si>
  <si>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</si>
  <si>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</si>
  <si>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</si>
  <si>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</si>
  <si>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</si>
  <si>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</si>
  <si>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</si>
  <si>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</si>
  <si>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</si>
  <si>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</si>
  <si>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</si>
  <si>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</si>
  <si>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</si>
  <si>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</si>
  <si>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</si>
  <si>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</si>
  <si>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</si>
  <si>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</si>
  <si>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</si>
  <si>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</si>
  <si>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</si>
  <si>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</si>
  <si>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</si>
  <si>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</si>
  <si>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</si>
  <si>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</si>
  <si>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</si>
  <si>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</si>
  <si>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</si>
  <si>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</si>
  <si>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</si>
  <si>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</si>
  <si>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</si>
  <si>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</si>
  <si>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</si>
  <si>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</si>
  <si>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</si>
  <si>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</si>
  <si>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</si>
  <si>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</si>
  <si>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</si>
  <si>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</si>
  <si>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</si>
  <si>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</si>
  <si>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</si>
  <si>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</si>
  <si>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</si>
  <si>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</si>
  <si>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</si>
  <si>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</si>
  <si>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</si>
  <si>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</si>
  <si>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</si>
  <si>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</si>
  <si>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</si>
  <si>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</si>
  <si>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</si>
  <si>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</si>
  <si>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</si>
  <si>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</si>
  <si>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</si>
  <si>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</si>
  <si>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</si>
  <si>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</si>
  <si>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</si>
  <si>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</si>
  <si>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</si>
  <si>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</si>
  <si>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</si>
  <si>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</si>
  <si>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</si>
  <si>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</si>
  <si>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</si>
  <si>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</si>
  <si>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</si>
  <si>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</si>
  <si>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</si>
  <si>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</si>
  <si>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</si>
  <si>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</si>
  <si>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</si>
  <si>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</si>
  <si>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</si>
  <si>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</si>
  <si>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</si>
  <si>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</si>
  <si>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</si>
  <si>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</si>
  <si>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</si>
  <si>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</si>
  <si>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</si>
  <si>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</si>
  <si>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</si>
  <si>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</si>
  <si>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</si>
  <si>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</si>
  <si>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</si>
  <si>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</si>
  <si>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</si>
  <si>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</si>
  <si>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</si>
  <si>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</si>
  <si>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</si>
  <si>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</si>
  <si>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</si>
  <si>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</si>
  <si>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</si>
  <si>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</si>
  <si>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</si>
  <si>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</si>
  <si>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</si>
  <si>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</si>
  <si>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</si>
  <si>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</si>
  <si>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</si>
  <si>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</si>
  <si>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</si>
  <si>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</si>
  <si>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</si>
  <si>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</si>
  <si>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</si>
  <si>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</si>
  <si>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</si>
  <si>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</si>
  <si>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</si>
  <si>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</si>
  <si>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</si>
  <si>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</si>
  <si>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</si>
  <si>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</si>
  <si>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</si>
  <si>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</si>
  <si>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</si>
  <si>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</si>
  <si>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</si>
  <si>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</si>
  <si>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</si>
  <si>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</si>
  <si>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</si>
  <si>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</si>
  <si>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</si>
  <si>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</si>
  <si>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</si>
  <si>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</si>
  <si>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</si>
  <si>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</si>
  <si>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</si>
  <si>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</si>
  <si>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</si>
  <si>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</si>
  <si>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</si>
  <si>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</si>
  <si>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</si>
  <si>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</si>
  <si>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</si>
  <si>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</si>
  <si>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</si>
  <si>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</si>
  <si>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</si>
  <si>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</si>
  <si>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</si>
  <si>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</si>
  <si>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</si>
  <si>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</si>
  <si>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</si>
  <si>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</si>
  <si>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</si>
  <si>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</si>
  <si>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</si>
  <si>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</si>
  <si>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</si>
  <si>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</si>
  <si>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</si>
  <si>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</si>
  <si>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</si>
  <si>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</si>
  <si>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</si>
  <si>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</si>
  <si>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</si>
  <si>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</si>
  <si>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</si>
  <si>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</si>
  <si>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</si>
  <si>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</si>
  <si>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</si>
  <si>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</si>
  <si>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</si>
  <si>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</si>
  <si>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</si>
  <si>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</si>
  <si>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</si>
  <si>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</si>
  <si>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</si>
  <si>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</si>
  <si>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</si>
  <si>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</si>
  <si>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</si>
  <si>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</si>
  <si>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</si>
  <si>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</si>
  <si>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</si>
  <si>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</si>
  <si>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</si>
  <si>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</si>
  <si>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</si>
  <si>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</si>
  <si>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</si>
  <si>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</si>
  <si>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</si>
  <si>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</si>
  <si>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</si>
  <si>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</si>
  <si>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</si>
  <si>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</si>
  <si>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</si>
  <si>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</si>
  <si>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</si>
  <si>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</si>
  <si>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</si>
  <si>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</si>
  <si>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</si>
  <si>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</si>
  <si>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</si>
  <si>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</si>
  <si>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</si>
  <si>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</si>
  <si>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</si>
  <si>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</si>
  <si>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</si>
  <si>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</si>
  <si>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</si>
  <si>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</si>
  <si>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</si>
  <si>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</si>
  <si>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</si>
  <si>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</si>
  <si>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</si>
  <si>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</si>
  <si>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</si>
  <si>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</si>
  <si>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</si>
  <si>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</si>
  <si>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</si>
  <si>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</si>
  <si>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</si>
  <si>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</si>
  <si>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</si>
  <si>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</si>
  <si>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</si>
  <si>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</si>
  <si>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</si>
  <si>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</si>
  <si>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</si>
  <si>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</si>
  <si>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</si>
  <si>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</si>
  <si>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</si>
  <si>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</si>
  <si>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</si>
  <si>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</si>
  <si>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</si>
  <si>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</si>
  <si>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</si>
  <si>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</si>
  <si>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</si>
  <si>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</si>
  <si>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</si>
  <si>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</si>
  <si>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</si>
  <si>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</si>
  <si>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</si>
  <si>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</si>
  <si>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11025</t>
  </si>
  <si>
    <t>LINT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</si>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</sst>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62974.993902700713</c:v>
                </c:pt>
                <c:pt idx="1">
                  <c:v>19988.650139257894</c:v>
                </c:pt>
                <c:pt idx="2">
                  <c:v>572.33000000000004</c:v>
                </c:pt>
                <c:pt idx="3">
                  <c:v>1565.2158123632978</c:v>
                </c:pt>
                <c:pt idx="4">
                  <c:v>3101.9332976778583</c:v>
                </c:pt>
                <c:pt idx="5">
                  <c:v>6927.2739795383068</c:v>
                </c:pt>
                <c:pt idx="6">
                  <c:v>519.3156356593463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00736"/>
        <c:axId val="182551680"/>
      </c:barChart>
      <c:catAx>
        <c:axId val="182500736"/>
        <c:scaling>
          <c:orientation val="minMax"/>
        </c:scaling>
        <c:axPos val="b"/>
        <c:numFmt formatCode="General" sourceLinked="0"/>
        <c:tickLblPos val="nextTo"/>
        <c:crossAx val="182551680"/>
        <c:crosses val="autoZero"/>
        <c:auto val="1"/>
        <c:lblAlgn val="ctr"/>
        <c:lblOffset val="100"/>
      </c:catAx>
      <c:valAx>
        <c:axId val="182551680"/>
        <c:scaling>
          <c:orientation val="minMax"/>
        </c:scaling>
        <c:axPos val="l"/>
        <c:majorGridlines/>
        <c:numFmt formatCode="#,##0" sourceLinked="1"/>
        <c:tickLblPos val="nextTo"/>
        <c:crossAx val="1825007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62974.993902700713</c:v>
                </c:pt>
                <c:pt idx="1">
                  <c:v>19988.650139257894</c:v>
                </c:pt>
                <c:pt idx="2">
                  <c:v>572.33000000000004</c:v>
                </c:pt>
                <c:pt idx="3">
                  <c:v>1565.2158123632978</c:v>
                </c:pt>
                <c:pt idx="4">
                  <c:v>3101.9332976778583</c:v>
                </c:pt>
                <c:pt idx="5">
                  <c:v>6927.2739795383068</c:v>
                </c:pt>
                <c:pt idx="6">
                  <c:v>519.3156356593463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11880.418361566093</c:v>
                </c:pt>
                <c:pt idx="1">
                  <c:v>4024.7968557102695</c:v>
                </c:pt>
                <c:pt idx="2">
                  <c:v>114.76579124491651</c:v>
                </c:pt>
                <c:pt idx="3">
                  <c:v>335.70680092070154</c:v>
                </c:pt>
                <c:pt idx="4">
                  <c:v>604.24501439491871</c:v>
                </c:pt>
                <c:pt idx="5">
                  <c:v>1732.2385640083933</c:v>
                </c:pt>
                <c:pt idx="6">
                  <c:v>131.20538790428884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03392"/>
        <c:axId val="183033856"/>
      </c:barChart>
      <c:catAx>
        <c:axId val="183003392"/>
        <c:scaling>
          <c:orientation val="minMax"/>
        </c:scaling>
        <c:axPos val="b"/>
        <c:numFmt formatCode="General" sourceLinked="0"/>
        <c:tickLblPos val="nextTo"/>
        <c:crossAx val="183033856"/>
        <c:crosses val="autoZero"/>
        <c:auto val="1"/>
        <c:lblAlgn val="ctr"/>
        <c:lblOffset val="100"/>
      </c:catAx>
      <c:valAx>
        <c:axId val="183033856"/>
        <c:scaling>
          <c:orientation val="minMax"/>
        </c:scaling>
        <c:axPos val="l"/>
        <c:majorGridlines/>
        <c:numFmt formatCode="#,##0" sourceLinked="1"/>
        <c:tickLblPos val="nextTo"/>
        <c:crossAx val="1830033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11880.418361566093</c:v>
                </c:pt>
                <c:pt idx="1">
                  <c:v>4024.7968557102695</c:v>
                </c:pt>
                <c:pt idx="2">
                  <c:v>114.76579124491651</c:v>
                </c:pt>
                <c:pt idx="3">
                  <c:v>335.70680092070154</c:v>
                </c:pt>
                <c:pt idx="4">
                  <c:v>604.24501439491871</c:v>
                </c:pt>
                <c:pt idx="5">
                  <c:v>1732.2385640083933</c:v>
                </c:pt>
                <c:pt idx="6">
                  <c:v>131.20538790428884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11025</v>
      </c>
      <c r="B6" s="415"/>
      <c r="C6" s="416"/>
    </row>
    <row r="7" spans="1:7" s="413" customFormat="1" ht="15.75" customHeight="1">
      <c r="A7" s="417" t="str">
        <f>txtMunicipality</f>
        <v>LINT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11025</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3449</v>
      </c>
      <c r="C9" s="342">
        <v>3344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126.5</v>
      </c>
    </row>
    <row r="15" spans="1:6">
      <c r="A15" s="348" t="s">
        <v>184</v>
      </c>
      <c r="B15" s="334">
        <v>0</v>
      </c>
    </row>
    <row r="16" spans="1:6">
      <c r="A16" s="348" t="s">
        <v>6</v>
      </c>
      <c r="B16" s="334">
        <v>0</v>
      </c>
    </row>
    <row r="17" spans="1:6">
      <c r="A17" s="348" t="s">
        <v>7</v>
      </c>
      <c r="B17" s="334">
        <v>48</v>
      </c>
    </row>
    <row r="18" spans="1:6">
      <c r="A18" s="348" t="s">
        <v>8</v>
      </c>
      <c r="B18" s="334">
        <v>46</v>
      </c>
    </row>
    <row r="19" spans="1:6">
      <c r="A19" s="348" t="s">
        <v>9</v>
      </c>
      <c r="B19" s="334">
        <v>27</v>
      </c>
    </row>
    <row r="20" spans="1:6">
      <c r="A20" s="348" t="s">
        <v>10</v>
      </c>
      <c r="B20" s="334">
        <v>17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34</v>
      </c>
      <c r="C29" s="356"/>
      <c r="D29" s="356"/>
      <c r="E29" s="356"/>
      <c r="F29" s="356"/>
    </row>
    <row r="30" spans="1:6">
      <c r="A30" s="341" t="s">
        <v>745</v>
      </c>
      <c r="B30" s="341">
        <v>5</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138916.94862508099</v>
      </c>
      <c r="E38" s="334">
        <v>0</v>
      </c>
      <c r="F38" s="334">
        <v>0</v>
      </c>
    </row>
    <row r="39" spans="1:6">
      <c r="A39" s="348" t="s">
        <v>30</v>
      </c>
      <c r="B39" s="348" t="s">
        <v>31</v>
      </c>
      <c r="C39" s="334">
        <v>2882</v>
      </c>
      <c r="D39" s="334">
        <v>48472332.717975996</v>
      </c>
      <c r="E39" s="334">
        <v>3414</v>
      </c>
      <c r="F39" s="334">
        <v>12976010.6156381</v>
      </c>
    </row>
    <row r="40" spans="1:6">
      <c r="A40" s="348" t="s">
        <v>30</v>
      </c>
      <c r="B40" s="348" t="s">
        <v>29</v>
      </c>
      <c r="C40" s="334">
        <v>0</v>
      </c>
      <c r="D40" s="334">
        <v>0</v>
      </c>
      <c r="E40" s="334">
        <v>0</v>
      </c>
      <c r="F40" s="334">
        <v>0</v>
      </c>
    </row>
    <row r="41" spans="1:6">
      <c r="A41" s="348" t="s">
        <v>32</v>
      </c>
      <c r="B41" s="348" t="s">
        <v>33</v>
      </c>
      <c r="C41" s="334">
        <v>26</v>
      </c>
      <c r="D41" s="334">
        <v>543985.14338084904</v>
      </c>
      <c r="E41" s="334">
        <v>55</v>
      </c>
      <c r="F41" s="334">
        <v>381524.94848035497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51339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21</v>
      </c>
      <c r="D48" s="334">
        <v>724222.46411052998</v>
      </c>
      <c r="E48" s="334">
        <v>24</v>
      </c>
      <c r="F48" s="334">
        <v>547374.08146749996</v>
      </c>
    </row>
    <row r="49" spans="1:6">
      <c r="A49" s="348" t="s">
        <v>32</v>
      </c>
      <c r="B49" s="348" t="s">
        <v>40</v>
      </c>
      <c r="C49" s="334">
        <v>0</v>
      </c>
      <c r="D49" s="334">
        <v>0</v>
      </c>
      <c r="E49" s="334">
        <v>0</v>
      </c>
      <c r="F49" s="334">
        <v>0</v>
      </c>
    </row>
    <row r="50" spans="1:6">
      <c r="A50" s="348" t="s">
        <v>32</v>
      </c>
      <c r="B50" s="348" t="s">
        <v>41</v>
      </c>
      <c r="C50" s="334">
        <v>0</v>
      </c>
      <c r="D50" s="334">
        <v>0</v>
      </c>
      <c r="E50" s="334">
        <v>3</v>
      </c>
      <c r="F50" s="334">
        <v>144701.90566064999</v>
      </c>
    </row>
    <row r="51" spans="1:6">
      <c r="A51" s="348" t="s">
        <v>42</v>
      </c>
      <c r="B51" s="348" t="s">
        <v>43</v>
      </c>
      <c r="C51" s="334">
        <v>3</v>
      </c>
      <c r="D51" s="334">
        <v>270161.823250986</v>
      </c>
      <c r="E51" s="334">
        <v>3</v>
      </c>
      <c r="F51" s="334">
        <v>34035.020608567698</v>
      </c>
    </row>
    <row r="52" spans="1:6">
      <c r="A52" s="348" t="s">
        <v>42</v>
      </c>
      <c r="B52" s="348" t="s">
        <v>29</v>
      </c>
      <c r="C52" s="334">
        <v>3</v>
      </c>
      <c r="D52" s="334">
        <v>20749.624255535</v>
      </c>
      <c r="E52" s="334">
        <v>5</v>
      </c>
      <c r="F52" s="334">
        <v>32844.2560330864</v>
      </c>
    </row>
    <row r="53" spans="1:6">
      <c r="A53" s="348" t="s">
        <v>44</v>
      </c>
      <c r="B53" s="348" t="s">
        <v>45</v>
      </c>
      <c r="C53" s="334">
        <v>46</v>
      </c>
      <c r="D53" s="334">
        <v>1048407.76097361</v>
      </c>
      <c r="E53" s="334">
        <v>139</v>
      </c>
      <c r="F53" s="334">
        <v>556891.48657519603</v>
      </c>
    </row>
    <row r="54" spans="1:6">
      <c r="A54" s="348" t="s">
        <v>46</v>
      </c>
      <c r="B54" s="348" t="s">
        <v>47</v>
      </c>
      <c r="C54" s="334">
        <v>0</v>
      </c>
      <c r="D54" s="334">
        <v>0</v>
      </c>
      <c r="E54" s="334">
        <v>1</v>
      </c>
      <c r="F54" s="334">
        <v>572330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234793.00219607301</v>
      </c>
      <c r="E57" s="334">
        <v>20</v>
      </c>
      <c r="F57" s="334">
        <v>103701.295330375</v>
      </c>
    </row>
    <row r="58" spans="1:6">
      <c r="A58" s="348" t="s">
        <v>49</v>
      </c>
      <c r="B58" s="348" t="s">
        <v>51</v>
      </c>
      <c r="C58" s="334">
        <v>5</v>
      </c>
      <c r="D58" s="334">
        <v>938757.475420709</v>
      </c>
      <c r="E58" s="334">
        <v>8</v>
      </c>
      <c r="F58" s="334">
        <v>174330.666737077</v>
      </c>
    </row>
    <row r="59" spans="1:6">
      <c r="A59" s="348" t="s">
        <v>49</v>
      </c>
      <c r="B59" s="348" t="s">
        <v>52</v>
      </c>
      <c r="C59" s="334">
        <v>19</v>
      </c>
      <c r="D59" s="334">
        <v>566080.76723235403</v>
      </c>
      <c r="E59" s="334">
        <v>35</v>
      </c>
      <c r="F59" s="334">
        <v>1577425.1551852601</v>
      </c>
    </row>
    <row r="60" spans="1:6">
      <c r="A60" s="348" t="s">
        <v>49</v>
      </c>
      <c r="B60" s="348" t="s">
        <v>53</v>
      </c>
      <c r="C60" s="334">
        <v>24</v>
      </c>
      <c r="D60" s="334">
        <v>2037050.06839467</v>
      </c>
      <c r="E60" s="334">
        <v>35</v>
      </c>
      <c r="F60" s="334">
        <v>571017.55981755699</v>
      </c>
    </row>
    <row r="61" spans="1:6">
      <c r="A61" s="348" t="s">
        <v>49</v>
      </c>
      <c r="B61" s="348" t="s">
        <v>54</v>
      </c>
      <c r="C61" s="334">
        <v>74</v>
      </c>
      <c r="D61" s="334">
        <v>2761792.8381567998</v>
      </c>
      <c r="E61" s="334">
        <v>155</v>
      </c>
      <c r="F61" s="334">
        <v>897831.96892855398</v>
      </c>
    </row>
    <row r="62" spans="1:6">
      <c r="A62" s="348" t="s">
        <v>49</v>
      </c>
      <c r="B62" s="348" t="s">
        <v>55</v>
      </c>
      <c r="C62" s="334">
        <v>0</v>
      </c>
      <c r="D62" s="334">
        <v>0</v>
      </c>
      <c r="E62" s="334">
        <v>0</v>
      </c>
      <c r="F62" s="334">
        <v>0</v>
      </c>
    </row>
    <row r="63" spans="1:6">
      <c r="A63" s="348" t="s">
        <v>49</v>
      </c>
      <c r="B63" s="348" t="s">
        <v>29</v>
      </c>
      <c r="C63" s="334">
        <v>82</v>
      </c>
      <c r="D63" s="334">
        <v>7594983.6142284097</v>
      </c>
      <c r="E63" s="334">
        <v>77</v>
      </c>
      <c r="F63" s="334">
        <v>2474944.29875192</v>
      </c>
    </row>
    <row r="64" spans="1:6">
      <c r="A64" s="348" t="s">
        <v>56</v>
      </c>
      <c r="B64" s="348" t="s">
        <v>57</v>
      </c>
      <c r="C64" s="334">
        <v>0</v>
      </c>
      <c r="D64" s="334">
        <v>0</v>
      </c>
      <c r="E64" s="334">
        <v>0</v>
      </c>
      <c r="F64" s="334">
        <v>0</v>
      </c>
    </row>
    <row r="65" spans="1:6">
      <c r="A65" s="348" t="s">
        <v>56</v>
      </c>
      <c r="B65" s="348" t="s">
        <v>29</v>
      </c>
      <c r="C65" s="334">
        <v>1</v>
      </c>
      <c r="D65" s="334">
        <v>20773.331338440101</v>
      </c>
      <c r="E65" s="334">
        <v>1</v>
      </c>
      <c r="F65" s="334">
        <v>6241.1888183146002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8806571</v>
      </c>
      <c r="E73" s="476">
        <v>7862572.6421471648</v>
      </c>
    </row>
    <row r="74" spans="1:6">
      <c r="A74" s="348" t="s">
        <v>64</v>
      </c>
      <c r="B74" s="348" t="s">
        <v>657</v>
      </c>
      <c r="C74" s="1213" t="s">
        <v>659</v>
      </c>
      <c r="D74" s="476">
        <v>467190.46020692925</v>
      </c>
      <c r="E74" s="476">
        <v>440289.37459872215</v>
      </c>
    </row>
    <row r="75" spans="1:6">
      <c r="A75" s="348" t="s">
        <v>65</v>
      </c>
      <c r="B75" s="348" t="s">
        <v>656</v>
      </c>
      <c r="C75" s="1213" t="s">
        <v>660</v>
      </c>
      <c r="D75" s="476">
        <v>551346</v>
      </c>
      <c r="E75" s="476">
        <v>530600.52183606301</v>
      </c>
    </row>
    <row r="76" spans="1:6">
      <c r="A76" s="348" t="s">
        <v>65</v>
      </c>
      <c r="B76" s="348" t="s">
        <v>657</v>
      </c>
      <c r="C76" s="1213" t="s">
        <v>661</v>
      </c>
      <c r="D76" s="476">
        <v>109.9</v>
      </c>
      <c r="E76" s="476">
        <v>105.79776499552372</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140847.07958614154</v>
      </c>
      <c r="C83" s="476">
        <v>141466.98103093574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1581.0131821312182</v>
      </c>
    </row>
    <row r="92" spans="1:6">
      <c r="A92" s="341" t="s">
        <v>69</v>
      </c>
      <c r="B92" s="342">
        <v>468.83940427027301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2094</v>
      </c>
    </row>
    <row r="98" spans="1:6">
      <c r="A98" s="348" t="s">
        <v>72</v>
      </c>
      <c r="B98" s="334">
        <v>0</v>
      </c>
    </row>
    <row r="99" spans="1:6">
      <c r="A99" s="348" t="s">
        <v>73</v>
      </c>
      <c r="B99" s="334">
        <v>15</v>
      </c>
    </row>
    <row r="100" spans="1:6">
      <c r="A100" s="348" t="s">
        <v>74</v>
      </c>
      <c r="B100" s="334">
        <v>262</v>
      </c>
    </row>
    <row r="101" spans="1:6">
      <c r="A101" s="348" t="s">
        <v>75</v>
      </c>
      <c r="B101" s="334">
        <v>28</v>
      </c>
    </row>
    <row r="102" spans="1:6">
      <c r="A102" s="348" t="s">
        <v>76</v>
      </c>
      <c r="B102" s="334">
        <v>30</v>
      </c>
    </row>
    <row r="103" spans="1:6">
      <c r="A103" s="348" t="s">
        <v>77</v>
      </c>
      <c r="B103" s="334">
        <v>29</v>
      </c>
    </row>
    <row r="104" spans="1:6">
      <c r="A104" s="348" t="s">
        <v>78</v>
      </c>
      <c r="B104" s="334">
        <v>310</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8</v>
      </c>
      <c r="C123" s="334">
        <v>34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51</v>
      </c>
    </row>
    <row r="130" spans="1:6">
      <c r="A130" s="348" t="s">
        <v>295</v>
      </c>
      <c r="B130" s="334">
        <v>0</v>
      </c>
    </row>
    <row r="131" spans="1:6">
      <c r="A131" s="348" t="s">
        <v>296</v>
      </c>
      <c r="B131" s="334">
        <v>0</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22124.105390325203</v>
      </c>
      <c r="C3" s="43" t="s">
        <v>170</v>
      </c>
      <c r="D3" s="43"/>
      <c r="E3" s="154"/>
      <c r="F3" s="43"/>
      <c r="G3" s="43"/>
      <c r="H3" s="43"/>
      <c r="I3" s="43"/>
      <c r="J3" s="43"/>
      <c r="K3" s="96"/>
    </row>
    <row r="4" spans="1:11">
      <c r="A4" s="383" t="s">
        <v>171</v>
      </c>
      <c r="B4" s="49">
        <f>IF(ISERROR('SEAP template'!B69),0,'SEAP template'!B69)</f>
        <v>2049.852586401491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0.20052380837089878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572.33000000000004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572.33000000000004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0.20052380837089878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114.76579124491651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12976.010615638099</v>
      </c>
      <c r="C5" s="17">
        <f>IF(ISERROR('Eigen informatie GS &amp; warmtenet'!B57),0,'Eigen informatie GS &amp; warmtenet'!B57)</f>
        <v>0</v>
      </c>
      <c r="D5" s="30">
        <f>(SUM(HH_hh_gas_kWh,HH_rest_gas_kWh)/1000)*0.902</f>
        <v>43722.044111614348</v>
      </c>
      <c r="E5" s="17">
        <f>B46*B57</f>
        <v>570.64141209465834</v>
      </c>
      <c r="F5" s="17">
        <f>B51*B62</f>
        <v>0</v>
      </c>
      <c r="G5" s="18"/>
      <c r="H5" s="17"/>
      <c r="I5" s="17"/>
      <c r="J5" s="17">
        <f>B50*B61+C50*C61</f>
        <v>0</v>
      </c>
      <c r="K5" s="17"/>
      <c r="L5" s="17"/>
      <c r="M5" s="17"/>
      <c r="N5" s="17">
        <f>B48*B59+C48*C59</f>
        <v>3630.1345812223917</v>
      </c>
      <c r="O5" s="17">
        <f>B69*B70*B71</f>
        <v>132.88333333333333</v>
      </c>
      <c r="P5" s="17">
        <f>B77*B78*B79/1000-B77*B78*B79/1000/B80</f>
        <v>362.26666666666665</v>
      </c>
    </row>
    <row r="6" spans="1:16">
      <c r="A6" s="16" t="s">
        <v>621</v>
      </c>
      <c r="B6" s="843">
        <f>kWh_PV_kleiner_dan_10kW</f>
        <v>1581.0131821312182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14557.023797769318</v>
      </c>
      <c r="C8" s="21">
        <f>C5</f>
        <v>0</v>
      </c>
      <c r="D8" s="21">
        <f>D5</f>
        <v>43722.044111614348</v>
      </c>
      <c r="E8" s="21">
        <f>E5</f>
        <v>570.64141209465834</v>
      </c>
      <c r="F8" s="21">
        <f>F5</f>
        <v>0</v>
      </c>
      <c r="G8" s="21"/>
      <c r="H8" s="21"/>
      <c r="I8" s="21"/>
      <c r="J8" s="21">
        <f>J5</f>
        <v>0</v>
      </c>
      <c r="K8" s="21"/>
      <c r="L8" s="21">
        <f>L5</f>
        <v>0</v>
      </c>
      <c r="M8" s="21">
        <f>M5</f>
        <v>0</v>
      </c>
      <c r="N8" s="21">
        <f>N5</f>
        <v>3630.1345812223917</v>
      </c>
      <c r="O8" s="21">
        <f>O5</f>
        <v>132.88333333333333</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0.20052380837089878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2919.0298504745078</v>
      </c>
      <c r="C12" s="23">
        <f ca="1">C10*C8</f>
        <v>0</v>
      </c>
      <c r="D12" s="23">
        <f>D8*D10</f>
        <v>8831.8529105460984</v>
      </c>
      <c r="E12" s="23">
        <f>E10*E8</f>
        <v>129.53560054548745</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2094</v>
      </c>
      <c r="C18" s="166" t="s">
        <v>111</v>
      </c>
      <c r="D18" s="228"/>
      <c r="E18" s="15"/>
    </row>
    <row r="19" spans="1:7">
      <c r="A19" s="171" t="s">
        <v>72</v>
      </c>
      <c r="B19" s="37">
        <f>aantalw2001_ander</f>
        <v>0</v>
      </c>
      <c r="C19" s="166" t="s">
        <v>111</v>
      </c>
      <c r="D19" s="229"/>
      <c r="E19" s="15"/>
    </row>
    <row r="20" spans="1:7">
      <c r="A20" s="171" t="s">
        <v>73</v>
      </c>
      <c r="B20" s="37">
        <f>aantalw2001_propaan</f>
        <v>15</v>
      </c>
      <c r="C20" s="167">
        <f>IF(ISERROR(B20/SUM($B$20,$B$21,$B$22)*100),0,B20/SUM($B$20,$B$21,$B$22)*100)</f>
        <v>4.918032786885246</v>
      </c>
      <c r="D20" s="229"/>
      <c r="E20" s="15"/>
    </row>
    <row r="21" spans="1:7">
      <c r="A21" s="171" t="s">
        <v>74</v>
      </c>
      <c r="B21" s="37">
        <f>aantalw2001_elektriciteit</f>
        <v>262</v>
      </c>
      <c r="C21" s="167">
        <f>IF(ISERROR(B21/SUM($B$20,$B$21,$B$22)*100),0,B21/SUM($B$20,$B$21,$B$22)*100)</f>
        <v>85.901639344262293</v>
      </c>
      <c r="D21" s="229"/>
      <c r="E21" s="15"/>
    </row>
    <row r="22" spans="1:7">
      <c r="A22" s="171" t="s">
        <v>75</v>
      </c>
      <c r="B22" s="37">
        <f>aantalw2001_hout</f>
        <v>28</v>
      </c>
      <c r="C22" s="167">
        <f>IF(ISERROR(B22/SUM($B$20,$B$21,$B$22)*100),0,B22/SUM($B$20,$B$21,$B$22)*100)</f>
        <v>9.1803278688524586</v>
      </c>
      <c r="D22" s="229"/>
      <c r="E22" s="15"/>
    </row>
    <row r="23" spans="1:7">
      <c r="A23" s="171" t="s">
        <v>76</v>
      </c>
      <c r="B23" s="37">
        <f>aantalw2001_niet_gespec</f>
        <v>30</v>
      </c>
      <c r="C23" s="166" t="s">
        <v>111</v>
      </c>
      <c r="D23" s="228"/>
      <c r="E23" s="15"/>
    </row>
    <row r="24" spans="1:7">
      <c r="A24" s="171" t="s">
        <v>77</v>
      </c>
      <c r="B24" s="37">
        <f>aantalw2001_steenkool</f>
        <v>29</v>
      </c>
      <c r="C24" s="166" t="s">
        <v>111</v>
      </c>
      <c r="D24" s="229"/>
      <c r="E24" s="15"/>
    </row>
    <row r="25" spans="1:7">
      <c r="A25" s="171" t="s">
        <v>78</v>
      </c>
      <c r="B25" s="37">
        <f>aantalw2001_stookolie</f>
        <v>310</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3449</v>
      </c>
      <c r="C28" s="36"/>
      <c r="D28" s="228"/>
    </row>
    <row r="29" spans="1:7" s="15" customFormat="1">
      <c r="A29" s="230" t="s">
        <v>795</v>
      </c>
      <c r="B29" s="37">
        <f>SUM(HH_hh_gas_aantal,HH_rest_gas_aantal)</f>
        <v>2882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2882</v>
      </c>
      <c r="C32" s="167">
        <f>IF(ISERROR(B32/SUM($B$32,$B$34,$B$35,$B$36,$B$38,$B$39)*100),0,B32/SUM($B$32,$B$34,$B$35,$B$36,$B$38,$B$39)*100)</f>
        <v>84.023323615160351</v>
      </c>
      <c r="D32" s="233"/>
      <c r="G32" s="15"/>
    </row>
    <row r="33" spans="1:7">
      <c r="A33" s="171" t="s">
        <v>72</v>
      </c>
      <c r="B33" s="34" t="s">
        <v>111</v>
      </c>
      <c r="C33" s="167"/>
      <c r="D33" s="233"/>
      <c r="G33" s="15"/>
    </row>
    <row r="34" spans="1:7">
      <c r="A34" s="171" t="s">
        <v>73</v>
      </c>
      <c r="B34" s="33">
        <f>IF((($B$28-$B$32-$B$39-$B$77-$B$38)*C20/100)&lt;0,0,($B$28-$B$32-$B$39-$B$77-$B$38)*C20/100)</f>
        <v>26.950819672131146</v>
      </c>
      <c r="C34" s="167">
        <f>IF(ISERROR(B34/SUM($B$32,$B$34,$B$35,$B$36,$B$38,$B$39)*100),0,B34/SUM($B$32,$B$34,$B$35,$B$36,$B$38,$B$39)*100)</f>
        <v>0.78573818286096642</v>
      </c>
      <c r="D34" s="233"/>
      <c r="G34" s="15"/>
    </row>
    <row r="35" spans="1:7">
      <c r="A35" s="171" t="s">
        <v>74</v>
      </c>
      <c r="B35" s="33">
        <f>IF((($B$28-$B$32-$B$39-$B$77-$B$38)*C21/100)&lt;0,0,($B$28-$B$32-$B$39-$B$77-$B$38)*C21/100)</f>
        <v>470.74098360655734</v>
      </c>
      <c r="C35" s="167">
        <f>IF(ISERROR(B35/SUM($B$32,$B$34,$B$35,$B$36,$B$38,$B$39)*100),0,B35/SUM($B$32,$B$34,$B$35,$B$36,$B$38,$B$39)*100)</f>
        <v>13.724226927304878</v>
      </c>
      <c r="D35" s="233"/>
      <c r="G35" s="15"/>
    </row>
    <row r="36" spans="1:7">
      <c r="A36" s="171" t="s">
        <v>75</v>
      </c>
      <c r="B36" s="33">
        <f>IF((($B$28-$B$32-$B$39-$B$77-$B$38)*C22/100)&lt;0,0,($B$28-$B$32-$B$39-$B$77-$B$38)*C22/100)</f>
        <v>50.308196721311468</v>
      </c>
      <c r="C36" s="167">
        <f>IF(ISERROR(B36/SUM($B$32,$B$34,$B$35,$B$36,$B$38,$B$39)*100),0,B36/SUM($B$32,$B$34,$B$35,$B$36,$B$38,$B$39)*100)</f>
        <v>1.4667112746738038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2882</v>
      </c>
      <c r="C44" s="34" t="s">
        <v>111</v>
      </c>
      <c r="D44" s="174"/>
    </row>
    <row r="45" spans="1:7">
      <c r="A45" s="171" t="s">
        <v>72</v>
      </c>
      <c r="B45" s="33" t="str">
        <f t="shared" si="0"/>
        <v>-</v>
      </c>
      <c r="C45" s="34" t="s">
        <v>111</v>
      </c>
      <c r="D45" s="174"/>
    </row>
    <row r="46" spans="1:7">
      <c r="A46" s="171" t="s">
        <v>73</v>
      </c>
      <c r="B46" s="33">
        <f t="shared" si="0"/>
        <v>26.950819672131146</v>
      </c>
      <c r="C46" s="34" t="s">
        <v>111</v>
      </c>
      <c r="D46" s="174"/>
    </row>
    <row r="47" spans="1:7">
      <c r="A47" s="171" t="s">
        <v>74</v>
      </c>
      <c r="B47" s="33">
        <f t="shared" si="0"/>
        <v>470.74098360655734</v>
      </c>
      <c r="C47" s="34" t="s">
        <v>111</v>
      </c>
      <c r="D47" s="174"/>
    </row>
    <row r="48" spans="1:7">
      <c r="A48" s="171" t="s">
        <v>75</v>
      </c>
      <c r="B48" s="33">
        <f t="shared" si="0"/>
        <v>50.308196721311468</v>
      </c>
      <c r="C48" s="33">
        <f>B48*10</f>
        <v>503.08196721311469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5799.2509447507437</v>
      </c>
      <c r="C5" s="17">
        <f>IF(ISERROR('Eigen informatie GS &amp; warmtenet'!B58),0,'Eigen informatie GS &amp; warmtenet'!B58)</f>
        <v>0</v>
      </c>
      <c r="D5" s="30">
        <f>SUM(D6:D12)</f>
        <v>12748.378904597372</v>
      </c>
      <c r="E5" s="17">
        <f>SUM(E6:E12)</f>
        <v>96.263857225741106</v>
      </c>
      <c r="F5" s="17">
        <f>SUM(F6:F12)</f>
        <v>992.06598443447524</v>
      </c>
      <c r="G5" s="18"/>
      <c r="H5" s="17"/>
      <c r="I5" s="17"/>
      <c r="J5" s="17">
        <f>SUM(J6:J12)</f>
        <v>8.2440887021733959E-3</v>
      </c>
      <c r="K5" s="17"/>
      <c r="L5" s="17"/>
      <c r="M5" s="17"/>
      <c r="N5" s="17">
        <f>SUM(N6:N12)</f>
        <v>333.61553749419534</v>
      </c>
      <c r="O5" s="17">
        <f>B38*B39*B40</f>
        <v>0</v>
      </c>
      <c r="P5" s="17">
        <f>B46*B47*B48/1000-B46*B47*B48/1000/B49</f>
        <v>19.066666666666666</v>
      </c>
      <c r="R5" s="32"/>
    </row>
    <row r="6" spans="1:18">
      <c r="A6" s="32" t="s">
        <v>54</v>
      </c>
      <c r="B6" s="37">
        <f>B26</f>
        <v>897.83196892855403</v>
      </c>
      <c r="C6" s="33"/>
      <c r="D6" s="37">
        <f>IF(ISERROR(TER_kantoor_gas_kWh/1000),0,TER_kantoor_gas_kWh/1000)*0.902</f>
        <v>2491.1371400174335</v>
      </c>
      <c r="E6" s="33">
        <f>$C$26*'E Balans VL '!I12/100/3.6*1000000</f>
        <v>5.6273121670095249E-3</v>
      </c>
      <c r="F6" s="33">
        <f>$C$26*('E Balans VL '!L12+'E Balans VL '!N12)/100/3.6*1000000</f>
        <v>134.91905711203026</v>
      </c>
      <c r="G6" s="34"/>
      <c r="H6" s="33"/>
      <c r="I6" s="33"/>
      <c r="J6" s="33">
        <f>$C$26*('E Balans VL '!D12+'E Balans VL '!E12)/100/3.6*1000000</f>
        <v>0</v>
      </c>
      <c r="K6" s="33"/>
      <c r="L6" s="33"/>
      <c r="M6" s="33"/>
      <c r="N6" s="33">
        <f>$C$26*'E Balans VL '!Y12/100/3.6*1000000</f>
        <v>0.85864316008182284</v>
      </c>
      <c r="O6" s="33"/>
      <c r="P6" s="33"/>
      <c r="R6" s="32"/>
    </row>
    <row r="7" spans="1:18">
      <c r="A7" s="32" t="s">
        <v>53</v>
      </c>
      <c r="B7" s="37">
        <f t="shared" ref="B7:B12" si="0">B27</f>
        <v>571.01755981755696</v>
      </c>
      <c r="C7" s="33"/>
      <c r="D7" s="37">
        <f>IF(ISERROR(TER_horeca_gas_kWh/1000),0,TER_horeca_gas_kWh/1000)*0.902</f>
        <v>1837.4191616919925</v>
      </c>
      <c r="E7" s="33">
        <f>$C$27*'E Balans VL '!I9/100/3.6*1000000</f>
        <v>8.1768763432189111</v>
      </c>
      <c r="F7" s="33">
        <f>$C$27*('E Balans VL '!L9+'E Balans VL '!N9)/100/3.6*1000000</f>
        <v>72.309655957578656</v>
      </c>
      <c r="G7" s="34"/>
      <c r="H7" s="33"/>
      <c r="I7" s="33"/>
      <c r="J7" s="33">
        <f>$C$27*('E Balans VL '!D9+'E Balans VL '!E9)/100/3.6*1000000</f>
        <v>0</v>
      </c>
      <c r="K7" s="33"/>
      <c r="L7" s="33"/>
      <c r="M7" s="33"/>
      <c r="N7" s="33">
        <f>$C$27*'E Balans VL '!Y9/100/3.6*1000000</f>
        <v>0.16415495859106272</v>
      </c>
      <c r="O7" s="33"/>
      <c r="P7" s="33"/>
      <c r="R7" s="32"/>
    </row>
    <row r="8" spans="1:18">
      <c r="A8" s="6" t="s">
        <v>52</v>
      </c>
      <c r="B8" s="37">
        <f t="shared" si="0"/>
        <v>1577.4251551852601</v>
      </c>
      <c r="C8" s="33"/>
      <c r="D8" s="37">
        <f>IF(ISERROR(TER_handel_gas_kWh/1000),0,TER_handel_gas_kWh/1000)*0.902</f>
        <v>510.60485204358332</v>
      </c>
      <c r="E8" s="33">
        <f>$C$28*'E Balans VL '!I13/100/3.6*1000000</f>
        <v>57.213015859214018</v>
      </c>
      <c r="F8" s="33">
        <f>$C$28*('E Balans VL '!L13+'E Balans VL '!N13)/100/3.6*1000000</f>
        <v>303.82805733387374</v>
      </c>
      <c r="G8" s="34"/>
      <c r="H8" s="33"/>
      <c r="I8" s="33"/>
      <c r="J8" s="33">
        <f>$C$28*('E Balans VL '!D13+'E Balans VL '!E13)/100/3.6*1000000</f>
        <v>0</v>
      </c>
      <c r="K8" s="33"/>
      <c r="L8" s="33"/>
      <c r="M8" s="33"/>
      <c r="N8" s="33">
        <f>$C$28*'E Balans VL '!Y13/100/3.6*1000000</f>
        <v>2.185096789272738</v>
      </c>
      <c r="O8" s="33"/>
      <c r="P8" s="33"/>
      <c r="R8" s="32"/>
    </row>
    <row r="9" spans="1:18">
      <c r="A9" s="32" t="s">
        <v>51</v>
      </c>
      <c r="B9" s="37">
        <f t="shared" si="0"/>
        <v>174.330666737077</v>
      </c>
      <c r="C9" s="33"/>
      <c r="D9" s="37">
        <f>IF(ISERROR(TER_gezond_gas_kWh/1000),0,TER_gezond_gas_kWh/1000)*0.902</f>
        <v>846.7592428294796</v>
      </c>
      <c r="E9" s="33">
        <f>$C$29*'E Balans VL '!I10/100/3.6*1000000</f>
        <v>1.0914820942121498E-2</v>
      </c>
      <c r="F9" s="33">
        <f>$C$29*('E Balans VL '!L10+'E Balans VL '!N10)/100/3.6*1000000</f>
        <v>25.897351330123584</v>
      </c>
      <c r="G9" s="34"/>
      <c r="H9" s="33"/>
      <c r="I9" s="33"/>
      <c r="J9" s="33">
        <f>$C$29*('E Balans VL '!D10+'E Balans VL '!E10)/100/3.6*1000000</f>
        <v>0</v>
      </c>
      <c r="K9" s="33"/>
      <c r="L9" s="33"/>
      <c r="M9" s="33"/>
      <c r="N9" s="33">
        <f>$C$29*'E Balans VL '!Y10/100/3.6*1000000</f>
        <v>2.6965635745605447</v>
      </c>
      <c r="O9" s="33"/>
      <c r="P9" s="33"/>
      <c r="R9" s="32"/>
    </row>
    <row r="10" spans="1:18">
      <c r="A10" s="32" t="s">
        <v>50</v>
      </c>
      <c r="B10" s="37">
        <f t="shared" si="0"/>
        <v>103.70129533037499</v>
      </c>
      <c r="C10" s="33"/>
      <c r="D10" s="37">
        <f>IF(ISERROR(TER_ander_gas_kWh/1000),0,TER_ander_gas_kWh/1000)*0.902</f>
        <v>211.78328798085786</v>
      </c>
      <c r="E10" s="33">
        <f>$C$30*'E Balans VL '!I14/100/3.6*1000000</f>
        <v>0.12360823837565807</v>
      </c>
      <c r="F10" s="33">
        <f>$C$30*('E Balans VL '!L14+'E Balans VL '!N14)/100/3.6*1000000</f>
        <v>27.132869055917087</v>
      </c>
      <c r="G10" s="34"/>
      <c r="H10" s="33"/>
      <c r="I10" s="33"/>
      <c r="J10" s="33">
        <f>$C$30*('E Balans VL '!D14+'E Balans VL '!E14)/100/3.6*1000000</f>
        <v>2.250948623768948E-3</v>
      </c>
      <c r="K10" s="33"/>
      <c r="L10" s="33"/>
      <c r="M10" s="33"/>
      <c r="N10" s="33">
        <f>$C$30*'E Balans VL '!Y14/100/3.6*1000000</f>
        <v>88.06060245957606</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2474.9442987519201</v>
      </c>
      <c r="C12" s="33"/>
      <c r="D12" s="37">
        <f>IF(ISERROR(TER_rest_gas_kWh/1000),0,TER_rest_gas_kWh/1000)*0.902</f>
        <v>6850.6752200340252</v>
      </c>
      <c r="E12" s="33">
        <f>$C$32*'E Balans VL '!I8/100/3.6*1000000</f>
        <v>30.733814651823394</v>
      </c>
      <c r="F12" s="33">
        <f>$C$32*('E Balans VL '!L8+'E Balans VL '!N8)/100/3.6*1000000</f>
        <v>427.9789936449518</v>
      </c>
      <c r="G12" s="34"/>
      <c r="H12" s="33"/>
      <c r="I12" s="33"/>
      <c r="J12" s="33">
        <f>$C$32*('E Balans VL '!D8+'E Balans VL '!E8)/100/3.6*1000000</f>
        <v>5.9931400784044488E-3</v>
      </c>
      <c r="K12" s="33"/>
      <c r="L12" s="33"/>
      <c r="M12" s="33"/>
      <c r="N12" s="33">
        <f>$C$32*'E Balans VL '!Y8/100/3.6*1000000</f>
        <v>239.65047655211313</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5799.2509447507437</v>
      </c>
      <c r="C16" s="21">
        <f t="shared" ca="1" si="1"/>
        <v>0</v>
      </c>
      <c r="D16" s="21">
        <f t="shared" ca="1" si="1"/>
        <v>12748.378904597372</v>
      </c>
      <c r="E16" s="21">
        <f t="shared" si="1"/>
        <v>96.263857225741106</v>
      </c>
      <c r="F16" s="21">
        <f t="shared" ca="1" si="1"/>
        <v>992.06598443447524</v>
      </c>
      <c r="G16" s="21">
        <f t="shared" si="1"/>
        <v>0</v>
      </c>
      <c r="H16" s="21">
        <f t="shared" si="1"/>
        <v>0</v>
      </c>
      <c r="I16" s="21">
        <f t="shared" si="1"/>
        <v>0</v>
      </c>
      <c r="J16" s="21">
        <f t="shared" si="1"/>
        <v>8.2440887021733959E-3</v>
      </c>
      <c r="K16" s="21">
        <f t="shared" si="1"/>
        <v>0</v>
      </c>
      <c r="L16" s="21">
        <f t="shared" ca="1" si="1"/>
        <v>0</v>
      </c>
      <c r="M16" s="21">
        <f t="shared" si="1"/>
        <v>0</v>
      </c>
      <c r="N16" s="21">
        <f t="shared" ca="1" si="1"/>
        <v>333.61553749419534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0.20052380837089878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1162.8878851399518</v>
      </c>
      <c r="C20" s="23">
        <f t="shared" ref="C20:P20" ca="1" si="2">C16*C18</f>
        <v>0</v>
      </c>
      <c r="D20" s="23">
        <f t="shared" ca="1" si="2"/>
        <v>2575.1725387286692</v>
      </c>
      <c r="E20" s="23">
        <f t="shared" si="2"/>
        <v>21.851895590243231</v>
      </c>
      <c r="F20" s="23">
        <f t="shared" ca="1" si="2"/>
        <v>264.88161784400489</v>
      </c>
      <c r="G20" s="23">
        <f t="shared" si="2"/>
        <v>0</v>
      </c>
      <c r="H20" s="23">
        <f t="shared" si="2"/>
        <v>0</v>
      </c>
      <c r="I20" s="23">
        <f t="shared" si="2"/>
        <v>0</v>
      </c>
      <c r="J20" s="23">
        <f t="shared" si="2"/>
        <v>2.918407400569382E-3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897.83196892855403</v>
      </c>
      <c r="C26" s="39">
        <f>IF(ISERROR(B26*3.6/1000000/'E Balans VL '!Z12*100),0,B26*3.6/1000000/'E Balans VL '!Z12*100)</f>
        <v>1.8978745542426029E-2</v>
      </c>
      <c r="D26" s="237" t="s">
        <v>754</v>
      </c>
      <c r="F26" s="6"/>
    </row>
    <row r="27" spans="1:18">
      <c r="A27" s="231" t="s">
        <v>53</v>
      </c>
      <c r="B27" s="33">
        <f>IF(ISERROR(TER_horeca_ele_kWh/1000),0,TER_horeca_ele_kWh/1000)</f>
        <v>571.01755981755696</v>
      </c>
      <c r="C27" s="39">
        <f>IF(ISERROR(B27*3.6/1000000/'E Balans VL '!Z9*100),0,B27*3.6/1000000/'E Balans VL '!Z9*100)</f>
        <v>4.5013101411308154E-2</v>
      </c>
      <c r="D27" s="237" t="s">
        <v>754</v>
      </c>
      <c r="F27" s="6"/>
    </row>
    <row r="28" spans="1:18">
      <c r="A28" s="171" t="s">
        <v>52</v>
      </c>
      <c r="B28" s="33">
        <f>IF(ISERROR(TER_handel_ele_kWh/1000),0,TER_handel_ele_kWh/1000)</f>
        <v>1577.4251551852601</v>
      </c>
      <c r="C28" s="39">
        <f>IF(ISERROR(B28*3.6/1000000/'E Balans VL '!Z13*100),0,B28*3.6/1000000/'E Balans VL '!Z13*100)</f>
        <v>4.5783251515294103E-2</v>
      </c>
      <c r="D28" s="237" t="s">
        <v>754</v>
      </c>
      <c r="F28" s="6"/>
    </row>
    <row r="29" spans="1:18">
      <c r="A29" s="231" t="s">
        <v>51</v>
      </c>
      <c r="B29" s="33">
        <f>IF(ISERROR(TER_gezond_ele_kWh/1000),0,TER_gezond_ele_kWh/1000)</f>
        <v>174.330666737077</v>
      </c>
      <c r="C29" s="39">
        <f>IF(ISERROR(B29*3.6/1000000/'E Balans VL '!Z10*100),0,B29*3.6/1000000/'E Balans VL '!Z10*100)</f>
        <v>1.8359881792523212E-2</v>
      </c>
      <c r="D29" s="237" t="s">
        <v>754</v>
      </c>
      <c r="F29" s="6"/>
    </row>
    <row r="30" spans="1:18">
      <c r="A30" s="231" t="s">
        <v>50</v>
      </c>
      <c r="B30" s="33">
        <f>IF(ISERROR(TER_ander_ele_kWh/1000),0,TER_ander_ele_kWh/1000)</f>
        <v>103.70129533037499</v>
      </c>
      <c r="C30" s="39">
        <f>IF(ISERROR(B30*3.6/1000000/'E Balans VL '!Z14*100),0,B30*3.6/1000000/'E Balans VL '!Z14*100)</f>
        <v>7.6490300673777633E-3</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2474.9442987519201</v>
      </c>
      <c r="C32" s="39">
        <f>IF(ISERROR(B32*3.6/1000000/'E Balans VL '!Z8*100),0,B32*3.6/1000000/'E Balans VL '!Z8*100)</f>
        <v>2.0365506424116345E-2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1124.939935608505</v>
      </c>
      <c r="C5" s="17">
        <f>IF(ISERROR('Eigen informatie GS &amp; warmtenet'!B59),0,'Eigen informatie GS &amp; warmtenet'!B59)</f>
        <v>0</v>
      </c>
      <c r="D5" s="30">
        <f>SUM(D6:D15)</f>
        <v>1143.923261957224</v>
      </c>
      <c r="E5" s="17">
        <f>SUM(E6:E15)</f>
        <v>142.52907663348648</v>
      </c>
      <c r="F5" s="17">
        <f>SUM(F6:F15)</f>
        <v>429.01678116392452</v>
      </c>
      <c r="G5" s="18"/>
      <c r="H5" s="17"/>
      <c r="I5" s="17"/>
      <c r="J5" s="17">
        <f>SUM(J6:J15)</f>
        <v>1.9595888029918684</v>
      </c>
      <c r="K5" s="17"/>
      <c r="L5" s="17"/>
      <c r="M5" s="17"/>
      <c r="N5" s="17">
        <f>SUM(N6:N15)</f>
        <v>259.56465351172665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51.338999999999999</v>
      </c>
      <c r="C8" s="33"/>
      <c r="D8" s="37">
        <f>IF( ISERROR(IND_metaal_Gas_kWH/1000),0,IND_metaal_Gas_kWH/1000)*0.902</f>
        <v>0</v>
      </c>
      <c r="E8" s="33">
        <f>C30*'E Balans VL '!I18/100/3.6*1000000</f>
        <v>0.47201252132225774</v>
      </c>
      <c r="F8" s="33">
        <f>C30*'E Balans VL '!L18/100/3.6*1000000+C30*'E Balans VL '!N18/100/3.6*1000000</f>
        <v>4.8138889516720482</v>
      </c>
      <c r="G8" s="34"/>
      <c r="H8" s="33"/>
      <c r="I8" s="33"/>
      <c r="J8" s="40">
        <f>C30*'E Balans VL '!D18/100/3.6*1000000+C30*'E Balans VL '!E18/100/3.6*1000000</f>
        <v>0</v>
      </c>
      <c r="K8" s="33"/>
      <c r="L8" s="33"/>
      <c r="M8" s="33"/>
      <c r="N8" s="33">
        <f>C30*'E Balans VL '!Y18/100/3.6*1000000</f>
        <v>0.73243567627025497</v>
      </c>
      <c r="O8" s="33"/>
      <c r="P8" s="33"/>
      <c r="R8" s="32"/>
    </row>
    <row r="9" spans="1:18">
      <c r="A9" s="6" t="s">
        <v>33</v>
      </c>
      <c r="B9" s="37">
        <f t="shared" si="0"/>
        <v>381.52494848035496</v>
      </c>
      <c r="C9" s="33"/>
      <c r="D9" s="37">
        <f>IF( ISERROR(IND_andere_gas_kWh/1000),0,IND_andere_gas_kWh/1000)*0.902</f>
        <v>490.6745993295259</v>
      </c>
      <c r="E9" s="33">
        <f>C31*'E Balans VL '!I19/100/3.6*1000000</f>
        <v>111.52716985549618</v>
      </c>
      <c r="F9" s="33">
        <f>C31*'E Balans VL '!L19/100/3.6*1000000+C31*'E Balans VL '!N19/100/3.6*1000000</f>
        <v>306.58417488901136</v>
      </c>
      <c r="G9" s="34"/>
      <c r="H9" s="33"/>
      <c r="I9" s="33"/>
      <c r="J9" s="40">
        <f>C31*'E Balans VL '!D19/100/3.6*1000000+C31*'E Balans VL '!E19/100/3.6*1000000</f>
        <v>0</v>
      </c>
      <c r="K9" s="33"/>
      <c r="L9" s="33"/>
      <c r="M9" s="33"/>
      <c r="N9" s="33">
        <f>C31*'E Balans VL '!Y19/100/3.6*1000000</f>
        <v>126.06176001034227</v>
      </c>
      <c r="O9" s="33"/>
      <c r="P9" s="33"/>
      <c r="R9" s="32"/>
    </row>
    <row r="10" spans="1:18">
      <c r="A10" s="6" t="s">
        <v>41</v>
      </c>
      <c r="B10" s="37">
        <f t="shared" si="0"/>
        <v>144.70190566065</v>
      </c>
      <c r="C10" s="33"/>
      <c r="D10" s="37">
        <f>IF( ISERROR(IND_voed_gas_kWh/1000),0,IND_voed_gas_kWh/1000)*0.902</f>
        <v>0</v>
      </c>
      <c r="E10" s="33">
        <f>C32*'E Balans VL '!I20/100/3.6*1000000</f>
        <v>0.3061191250547256</v>
      </c>
      <c r="F10" s="33">
        <f>C32*'E Balans VL '!L20/100/3.6*1000000+C32*'E Balans VL '!N20/100/3.6*1000000</f>
        <v>9.2002949705663379</v>
      </c>
      <c r="G10" s="34"/>
      <c r="H10" s="33"/>
      <c r="I10" s="33"/>
      <c r="J10" s="40">
        <f>C32*'E Balans VL '!D20/100/3.6*1000000+C32*'E Balans VL '!E20/100/3.6*1000000</f>
        <v>0</v>
      </c>
      <c r="K10" s="33"/>
      <c r="L10" s="33"/>
      <c r="M10" s="33"/>
      <c r="N10" s="33">
        <f>C32*'E Balans VL '!Y20/100/3.6*1000000</f>
        <v>9.9858594438813526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547.37408146749999</v>
      </c>
      <c r="C15" s="33"/>
      <c r="D15" s="37">
        <f>IF( ISERROR(IND_rest_gas_kWh/1000),0,IND_rest_gas_kWh/1000)*0.902</f>
        <v>653.24866262769797</v>
      </c>
      <c r="E15" s="33">
        <f>C37*'E Balans VL '!I15/100/3.6*1000000</f>
        <v>30.223775131613333</v>
      </c>
      <c r="F15" s="33">
        <f>C37*'E Balans VL '!L15/100/3.6*1000000+C37*'E Balans VL '!N15/100/3.6*1000000</f>
        <v>108.41842235267477</v>
      </c>
      <c r="G15" s="34"/>
      <c r="H15" s="33"/>
      <c r="I15" s="33"/>
      <c r="J15" s="40">
        <f>C37*'E Balans VL '!D15/100/3.6*1000000+C37*'E Balans VL '!E15/100/3.6*1000000</f>
        <v>1.9595888029918684</v>
      </c>
      <c r="K15" s="33"/>
      <c r="L15" s="33"/>
      <c r="M15" s="33"/>
      <c r="N15" s="33">
        <f>C37*'E Balans VL '!Y15/100/3.6*1000000</f>
        <v>122.7845983812328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1124.939935608505</v>
      </c>
      <c r="C18" s="21">
        <f>C5+C16</f>
        <v>0</v>
      </c>
      <c r="D18" s="21">
        <f>MAX((D5+D16),0)</f>
        <v>1143.923261957224</v>
      </c>
      <c r="E18" s="21">
        <f>MAX((E5+E16),0)</f>
        <v>142.52907663348648</v>
      </c>
      <c r="F18" s="21">
        <f>MAX((F5+F16),0)</f>
        <v>429.01678116392452</v>
      </c>
      <c r="G18" s="21"/>
      <c r="H18" s="21"/>
      <c r="I18" s="21"/>
      <c r="J18" s="21">
        <f>MAX((J5+J16),0)</f>
        <v>1.9595888029918684</v>
      </c>
      <c r="K18" s="21"/>
      <c r="L18" s="21">
        <f>MAX((L5+L16),0)</f>
        <v>0</v>
      </c>
      <c r="M18" s="21"/>
      <c r="N18" s="21">
        <f>MAX((N5+N16),0)</f>
        <v>259.56465351172665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0.20052380837089878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225.57724007673107</v>
      </c>
      <c r="C22" s="23">
        <f ca="1">C18*C20</f>
        <v>0</v>
      </c>
      <c r="D22" s="23">
        <f>D18*D20</f>
        <v>231.07249891535926</v>
      </c>
      <c r="E22" s="23">
        <f>E18*E20</f>
        <v>32.354100395801431</v>
      </c>
      <c r="F22" s="23">
        <f>F18*F20</f>
        <v>114.54748057076786</v>
      </c>
      <c r="G22" s="23"/>
      <c r="H22" s="23"/>
      <c r="I22" s="23"/>
      <c r="J22" s="23">
        <f>J18*J20</f>
        <v>0.69369443625912142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51.338999999999999</v>
      </c>
      <c r="C30" s="39">
        <f>IF(ISERROR(B30*3.6/1000000/'E Balans VL '!Z18*100),0,B30*3.6/1000000/'E Balans VL '!Z18*100)</f>
        <v>2.9095127718060114E-3</v>
      </c>
      <c r="D30" s="237" t="s">
        <v>754</v>
      </c>
    </row>
    <row r="31" spans="1:18">
      <c r="A31" s="6" t="s">
        <v>33</v>
      </c>
      <c r="B31" s="37">
        <f>IF( ISERROR(IND_ander_ele_kWh/1000),0,IND_ander_ele_kWh/1000)</f>
        <v>381.52494848035496</v>
      </c>
      <c r="C31" s="39">
        <f>IF(ISERROR(B31*3.6/1000000/'E Balans VL '!Z19*100),0,B31*3.6/1000000/'E Balans VL '!Z19*100)</f>
        <v>1.7304383020833262E-2</v>
      </c>
      <c r="D31" s="237" t="s">
        <v>754</v>
      </c>
    </row>
    <row r="32" spans="1:18">
      <c r="A32" s="171" t="s">
        <v>41</v>
      </c>
      <c r="B32" s="37">
        <f>IF( ISERROR(IND_voed_ele_kWh/1000),0,IND_voed_ele_kWh/1000)</f>
        <v>144.70190566065</v>
      </c>
      <c r="C32" s="39">
        <f>IF(ISERROR(B32*3.6/1000000/'E Balans VL '!Z20*100),0,B32*3.6/1000000/'E Balans VL '!Z20*100)</f>
        <v>4.4762868332706724E-3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547.37408146749999</v>
      </c>
      <c r="C37" s="39">
        <f>IF(ISERROR(B37*3.6/1000000/'E Balans VL '!Z15*100),0,B37*3.6/1000000/'E Balans VL '!Z15*100)</f>
        <v>4.338611834935174E-3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66.879276641654101</v>
      </c>
      <c r="C5" s="17">
        <f>'Eigen informatie GS &amp; warmtenet'!B60</f>
        <v>0</v>
      </c>
      <c r="D5" s="30">
        <f>IF(ISERROR(SUM(LB_lb_gas_kWh,LB_rest_gas_kWh,onbekend_gas_kWh)/1000),0,SUM(LB_lb_gas_kWh,LB_rest_gas_kWh,onbekend_gas_kWh)/1000)*0.902</f>
        <v>1208.0659260490779</v>
      </c>
      <c r="E5" s="17">
        <f>B17*'E Balans VL '!I25/3.6*1000000/100</f>
        <v>1.9657862133865607</v>
      </c>
      <c r="F5" s="17">
        <f>B17*('E Balans VL '!L25/3.6*1000000+'E Balans VL '!N25/3.6*1000000)/100</f>
        <v>278.61545252270992</v>
      </c>
      <c r="G5" s="18"/>
      <c r="H5" s="17"/>
      <c r="I5" s="17"/>
      <c r="J5" s="17">
        <f>('E Balans VL '!D25+'E Balans VL '!E25)/3.6*1000000*landbouw!B17/100</f>
        <v>9.6893709364692207</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66.879276641654101</v>
      </c>
      <c r="C8" s="21">
        <f>C5+C6</f>
        <v>0</v>
      </c>
      <c r="D8" s="21">
        <f>MAX((D5+D6),0)</f>
        <v>1208.0659260490779</v>
      </c>
      <c r="E8" s="21">
        <f>MAX((E5+E6),0)</f>
        <v>1.9657862133865607</v>
      </c>
      <c r="F8" s="21">
        <f>MAX((F5+F6),0)</f>
        <v>278.61545252270992</v>
      </c>
      <c r="G8" s="21"/>
      <c r="H8" s="21"/>
      <c r="I8" s="21"/>
      <c r="J8" s="21">
        <f>MAX((J5+J6),0)</f>
        <v>9.6893709364692207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0.20052380837089878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13.410887253275375</v>
      </c>
      <c r="C12" s="23">
        <f ca="1">C8*C10</f>
        <v>0</v>
      </c>
      <c r="D12" s="23">
        <f>D8*D10</f>
        <v>244.02931706191376</v>
      </c>
      <c r="E12" s="23">
        <f>E8*E10</f>
        <v>0.44623347043874928</v>
      </c>
      <c r="F12" s="23">
        <f>F8*F10</f>
        <v>74.390325823563558</v>
      </c>
      <c r="G12" s="23"/>
      <c r="H12" s="23"/>
      <c r="I12" s="23"/>
      <c r="J12" s="23">
        <f>J8*J10</f>
        <v>3.4300373115101039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9.4903791827820987E-3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8.7504594374324682</v>
      </c>
      <c r="C26" s="247">
        <f>B26*'GWP N2O_CH4'!B5</f>
        <v>183.75964818608185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0.44216290316964812</v>
      </c>
      <c r="C27" s="247">
        <f>B27*'GWP N2O_CH4'!B5</f>
        <v>9.2854209665626115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0.12586799650340635</v>
      </c>
      <c r="C28" s="247">
        <f>B28*'GWP N2O_CH4'!B4</f>
        <v>39.019078916055967</v>
      </c>
      <c r="D28" s="50"/>
    </row>
    <row r="29" spans="1:4">
      <c r="A29" s="41" t="s">
        <v>277</v>
      </c>
      <c r="B29" s="247">
        <f>B34*'ha_N2O bodem landbouw'!B4</f>
        <v>0.82303940870493519</v>
      </c>
      <c r="C29" s="247">
        <f>B29*'GWP N2O_CH4'!B4</f>
        <v>255.14221669852992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1.8781475674648423E-4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1.3253167997942529E-5</v>
      </c>
      <c r="C5" s="463" t="s">
        <v>211</v>
      </c>
      <c r="D5" s="448">
        <f>SUM(D6:D11)</f>
        <v>4.1574066779153671E-5</v>
      </c>
      <c r="E5" s="448">
        <f>SUM(E6:E11)</f>
        <v>5.6375808697082534E-5</v>
      </c>
      <c r="F5" s="461" t="s">
        <v>211</v>
      </c>
      <c r="G5" s="448">
        <f>SUM(G6:G11)</f>
        <v>1.8868884847625184E-2</v>
      </c>
      <c r="H5" s="448">
        <f>SUM(H6:H11)</f>
        <v>4.7157177924929232E-3</v>
      </c>
      <c r="I5" s="463" t="s">
        <v>211</v>
      </c>
      <c r="J5" s="463" t="s">
        <v>211</v>
      </c>
      <c r="K5" s="463" t="s">
        <v>211</v>
      </c>
      <c r="L5" s="463" t="s">
        <v>211</v>
      </c>
      <c r="M5" s="448">
        <f>SUM(M6:M11)</f>
        <v>1.2423806427456182E-3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1.2472323162174738E-5</v>
      </c>
      <c r="C6" s="449"/>
      <c r="D6" s="962">
        <f>vkm_2011_GW_PW*SUMIFS(TableVerdeelsleutelVkm[CNG],TableVerdeelsleutelVkm[Voertuigtype],"Lichte voertuigen")*SUMIFS(TableECFTransport[EnergieConsumptieFactor (PJ per km)],TableECFTransport[Index],CONCATENATE($A6,"_CNG_CNG"))</f>
        <v>3.7409811024169928E-5</v>
      </c>
      <c r="E6" s="962">
        <f>vkm_2011_GW_PW*SUMIFS(TableVerdeelsleutelVkm[LPG],TableVerdeelsleutelVkm[Voertuigtype],"Lichte voertuigen")*SUMIFS(TableECFTransport[EnergieConsumptieFactor (PJ per km)],TableECFTransport[Index],CONCATENATE($A6,"_LPG_LPG"))</f>
        <v>5.1107175513543929E-5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1.3213972798463682E-2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4.2541913315969808E-3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8.9828390744121304E-4</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4.3841382118330477E-3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1.3359625316727527E-6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2.56194479565923E-4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7.8084483576779123E-7</v>
      </c>
      <c r="C8" s="449"/>
      <c r="D8" s="451">
        <f>vkm_2011_NGW_PW*SUMIFS(TableVerdeelsleutelVkm[CNG],TableVerdeelsleutelVkm[Voertuigtype],"Lichte voertuigen")*SUMIFS(TableECFTransport[EnergieConsumptieFactor (PJ per km)],TableECFTransport[Index],CONCATENATE($A8,"_CNG_CNG"))</f>
        <v>4.1642557549837427E-6</v>
      </c>
      <c r="E8" s="451">
        <f>vkm_2011_NGW_PW*SUMIFS(TableVerdeelsleutelVkm[LPG],TableVerdeelsleutelVkm[Voertuigtype],"Lichte voertuigen")*SUMIFS(TableECFTransport[EnergieConsumptieFactor (PJ per km)],TableECFTransport[Index],CONCATENATE($A8,"_LPG_LPG"))</f>
        <v>5.2686331835386025E-6</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1.2694514504330511E-3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4.6019011900645966E-4</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8.7824980539765463E-5</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1.3223868954069987E-6</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3.7935781019933573E-10</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7.7275198716726364E-8</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3.6814355549840361</v>
      </c>
      <c r="C14" s="21"/>
      <c r="D14" s="21">
        <f t="shared" ref="D14:M14" si="0">((D5)*10^9/3600)+D12</f>
        <v>11.548351883098242</v>
      </c>
      <c r="E14" s="21">
        <f t="shared" si="0"/>
        <v>15.659946860300703</v>
      </c>
      <c r="F14" s="21"/>
      <c r="G14" s="21">
        <f t="shared" si="0"/>
        <v>5241.3569021181065</v>
      </c>
      <c r="H14" s="21">
        <f t="shared" si="0"/>
        <v>1309.9216090258121</v>
      </c>
      <c r="I14" s="21"/>
      <c r="J14" s="21"/>
      <c r="K14" s="21"/>
      <c r="L14" s="21"/>
      <c r="M14" s="21">
        <f t="shared" si="0"/>
        <v>345.10573409600505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0.20052380837089878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0.73821547775743224</v>
      </c>
      <c r="C18" s="23"/>
      <c r="D18" s="23">
        <f t="shared" ref="D18:M18" si="1">D14*D16</f>
        <v>2.3327670803858451</v>
      </c>
      <c r="E18" s="23">
        <f t="shared" si="1"/>
        <v>3.5548079372882597</v>
      </c>
      <c r="F18" s="23"/>
      <c r="G18" s="23">
        <f t="shared" si="1"/>
        <v>1399.4422928655345</v>
      </c>
      <c r="H18" s="23">
        <f t="shared" si="1"/>
        <v>326.17048064742721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1.7690614099454675E-3</v>
      </c>
      <c r="H50" s="321">
        <f t="shared" si="2"/>
        <v>0</v>
      </c>
      <c r="I50" s="321">
        <f t="shared" si="2"/>
        <v>0</v>
      </c>
      <c r="J50" s="321">
        <f t="shared" si="2"/>
        <v>0</v>
      </c>
      <c r="K50" s="321">
        <f t="shared" si="2"/>
        <v>0</v>
      </c>
      <c r="L50" s="321">
        <f t="shared" si="2"/>
        <v>0</v>
      </c>
      <c r="M50" s="321">
        <f t="shared" si="2"/>
        <v>1.0047487842817937E-4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1.7690614099454675E-3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1.0047487842817937E-4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491.40594720707429</v>
      </c>
      <c r="H54" s="21">
        <f t="shared" si="3"/>
        <v>0</v>
      </c>
      <c r="I54" s="21">
        <f t="shared" si="3"/>
        <v>0</v>
      </c>
      <c r="J54" s="21">
        <f t="shared" si="3"/>
        <v>0</v>
      </c>
      <c r="K54" s="21">
        <f t="shared" si="3"/>
        <v>0</v>
      </c>
      <c r="L54" s="21">
        <f t="shared" si="3"/>
        <v>0</v>
      </c>
      <c r="M54" s="21">
        <f t="shared" si="3"/>
        <v>27.90968845227205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0.20052380837089878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131.20538790428884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2049.852586401491</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2049.852586401491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6371.5809447507436</v>
      </c>
      <c r="D10" s="718">
        <f ca="1">tertiair!C16</f>
        <v>0</v>
      </c>
      <c r="E10" s="718">
        <f ca="1">tertiair!D16</f>
        <v>12748.378904597372</v>
      </c>
      <c r="F10" s="718">
        <f>tertiair!E16</f>
        <v>96.263857225741106</v>
      </c>
      <c r="G10" s="718">
        <f ca="1">tertiair!F16</f>
        <v>992.06598443447524</v>
      </c>
      <c r="H10" s="718">
        <f>tertiair!G16</f>
        <v>0</v>
      </c>
      <c r="I10" s="718">
        <f>tertiair!H16</f>
        <v>0</v>
      </c>
      <c r="J10" s="718">
        <f>tertiair!I16</f>
        <v>0</v>
      </c>
      <c r="K10" s="718">
        <f>tertiair!J16</f>
        <v>8.2440887021733959E-3</v>
      </c>
      <c r="L10" s="718">
        <f>tertiair!K16</f>
        <v>0</v>
      </c>
      <c r="M10" s="718">
        <f ca="1">tertiair!L16</f>
        <v>0</v>
      </c>
      <c r="N10" s="718">
        <f>tertiair!M16</f>
        <v>0</v>
      </c>
      <c r="O10" s="718">
        <f ca="1">tertiair!N16</f>
        <v>333.61553749419534</v>
      </c>
      <c r="P10" s="718">
        <f>tertiair!O16</f>
        <v>0</v>
      </c>
      <c r="Q10" s="719">
        <f>tertiair!P16</f>
        <v>19.066666666666666</v>
      </c>
      <c r="R10" s="721">
        <f ca="1">SUM(C10:Q10)</f>
        <v>20560.980139257896</v>
      </c>
      <c r="S10" s="67"/>
    </row>
    <row r="11" spans="1:19" s="474" customFormat="1">
      <c r="A11" s="870" t="s">
        <v>225</v>
      </c>
      <c r="B11" s="875"/>
      <c r="C11" s="718">
        <f>huishoudens!B8</f>
        <v>14557.023797769318</v>
      </c>
      <c r="D11" s="718">
        <f>huishoudens!C8</f>
        <v>0</v>
      </c>
      <c r="E11" s="718">
        <f>huishoudens!D8</f>
        <v>43722.044111614348</v>
      </c>
      <c r="F11" s="718">
        <f>huishoudens!E8</f>
        <v>570.64141209465834</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3630.1345812223917</v>
      </c>
      <c r="P11" s="718">
        <f>huishoudens!O8</f>
        <v>132.88333333333333</v>
      </c>
      <c r="Q11" s="719">
        <f>huishoudens!P8</f>
        <v>362.26666666666665</v>
      </c>
      <c r="R11" s="721">
        <f>SUM(C11:Q11)</f>
        <v>62974.993902700713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1124.939935608505</v>
      </c>
      <c r="D13" s="718">
        <f>industrie!C18</f>
        <v>0</v>
      </c>
      <c r="E13" s="718">
        <f>industrie!D18</f>
        <v>1143.923261957224</v>
      </c>
      <c r="F13" s="718">
        <f>industrie!E18</f>
        <v>142.52907663348648</v>
      </c>
      <c r="G13" s="718">
        <f>industrie!F18</f>
        <v>429.01678116392452</v>
      </c>
      <c r="H13" s="718">
        <f>industrie!G18</f>
        <v>0</v>
      </c>
      <c r="I13" s="718">
        <f>industrie!H18</f>
        <v>0</v>
      </c>
      <c r="J13" s="718">
        <f>industrie!I18</f>
        <v>0</v>
      </c>
      <c r="K13" s="718">
        <f>industrie!J18</f>
        <v>1.9595888029918684</v>
      </c>
      <c r="L13" s="718">
        <f>industrie!K18</f>
        <v>0</v>
      </c>
      <c r="M13" s="718">
        <f>industrie!L18</f>
        <v>0</v>
      </c>
      <c r="N13" s="718">
        <f>industrie!M18</f>
        <v>0</v>
      </c>
      <c r="O13" s="718">
        <f>industrie!N18</f>
        <v>259.56465351172665</v>
      </c>
      <c r="P13" s="718">
        <f>industrie!O18</f>
        <v>0</v>
      </c>
      <c r="Q13" s="719">
        <f>industrie!P18</f>
        <v>0</v>
      </c>
      <c r="R13" s="721">
        <f>SUM(C13:Q13)</f>
        <v>3101.9332976778583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22053.544678128565</v>
      </c>
      <c r="D15" s="723">
        <f t="shared" ref="D15:Q15" ca="1" si="0">SUM(D9:D14)</f>
        <v>0</v>
      </c>
      <c r="E15" s="723">
        <f t="shared" ca="1" si="0"/>
        <v>57614.346278168938</v>
      </c>
      <c r="F15" s="723">
        <f t="shared" si="0"/>
        <v>809.4343459538859</v>
      </c>
      <c r="G15" s="723">
        <f t="shared" ca="1" si="0"/>
        <v>1421.0827655983999</v>
      </c>
      <c r="H15" s="723">
        <f t="shared" si="0"/>
        <v>0</v>
      </c>
      <c r="I15" s="723">
        <f t="shared" si="0"/>
        <v>0</v>
      </c>
      <c r="J15" s="723">
        <f t="shared" si="0"/>
        <v>0</v>
      </c>
      <c r="K15" s="723">
        <f t="shared" si="0"/>
        <v>1.9678328916940417</v>
      </c>
      <c r="L15" s="723">
        <f t="shared" si="0"/>
        <v>0</v>
      </c>
      <c r="M15" s="723">
        <f t="shared" ca="1" si="0"/>
        <v>0</v>
      </c>
      <c r="N15" s="723">
        <f t="shared" si="0"/>
        <v>0</v>
      </c>
      <c r="O15" s="723">
        <f t="shared" ca="1" si="0"/>
        <v>4223.3147722283138</v>
      </c>
      <c r="P15" s="723">
        <f t="shared" si="0"/>
        <v>132.88333333333333</v>
      </c>
      <c r="Q15" s="724">
        <f t="shared" si="0"/>
        <v>381.33333333333331</v>
      </c>
      <c r="R15" s="725">
        <f ca="1">SUM(R9:R14)</f>
        <v>86637.907339636455</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491.40594720707429</v>
      </c>
      <c r="I18" s="718">
        <f>transport!H54</f>
        <v>0</v>
      </c>
      <c r="J18" s="718">
        <f>transport!I54</f>
        <v>0</v>
      </c>
      <c r="K18" s="718">
        <f>transport!J54</f>
        <v>0</v>
      </c>
      <c r="L18" s="718">
        <f>transport!K54</f>
        <v>0</v>
      </c>
      <c r="M18" s="718">
        <f>transport!L54</f>
        <v>0</v>
      </c>
      <c r="N18" s="718">
        <f>transport!M54</f>
        <v>27.90968845227205</v>
      </c>
      <c r="O18" s="718">
        <f>transport!N54</f>
        <v>0</v>
      </c>
      <c r="P18" s="718">
        <f>transport!O54</f>
        <v>0</v>
      </c>
      <c r="Q18" s="719">
        <f>transport!P54</f>
        <v>0</v>
      </c>
      <c r="R18" s="721">
        <f>SUM(C18:Q18)</f>
        <v>519.3156356593463</v>
      </c>
      <c r="S18" s="67"/>
    </row>
    <row r="19" spans="1:19" s="474" customFormat="1" ht="15" thickBot="1">
      <c r="A19" s="870" t="s">
        <v>307</v>
      </c>
      <c r="B19" s="875"/>
      <c r="C19" s="727">
        <f>transport!B14</f>
        <v>3.6814355549840361</v>
      </c>
      <c r="D19" s="727">
        <f>transport!C14</f>
        <v>0</v>
      </c>
      <c r="E19" s="727">
        <f>transport!D14</f>
        <v>11.548351883098242</v>
      </c>
      <c r="F19" s="727">
        <f>transport!E14</f>
        <v>15.659946860300703</v>
      </c>
      <c r="G19" s="727">
        <f>transport!F14</f>
        <v>0</v>
      </c>
      <c r="H19" s="727">
        <f>transport!G14</f>
        <v>5241.3569021181065</v>
      </c>
      <c r="I19" s="727">
        <f>transport!H14</f>
        <v>1309.9216090258121</v>
      </c>
      <c r="J19" s="727">
        <f>transport!I14</f>
        <v>0</v>
      </c>
      <c r="K19" s="727">
        <f>transport!J14</f>
        <v>0</v>
      </c>
      <c r="L19" s="727">
        <f>transport!K14</f>
        <v>0</v>
      </c>
      <c r="M19" s="727">
        <f>transport!L14</f>
        <v>0</v>
      </c>
      <c r="N19" s="727">
        <f>transport!M14</f>
        <v>345.10573409600505</v>
      </c>
      <c r="O19" s="727">
        <f>transport!N14</f>
        <v>0</v>
      </c>
      <c r="P19" s="727">
        <f>transport!O14</f>
        <v>0</v>
      </c>
      <c r="Q19" s="728">
        <f>transport!P14</f>
        <v>0</v>
      </c>
      <c r="R19" s="729">
        <f>SUM(C19:Q19)</f>
        <v>6927.2739795383068</v>
      </c>
      <c r="S19" s="67"/>
    </row>
    <row r="20" spans="1:19" s="474" customFormat="1" ht="15.75" thickBot="1">
      <c r="A20" s="730" t="s">
        <v>230</v>
      </c>
      <c r="B20" s="878"/>
      <c r="C20" s="873">
        <f>SUM(C17:C19)</f>
        <v>3.6814355549840361</v>
      </c>
      <c r="D20" s="731">
        <f t="shared" ref="D20:R20" si="1">SUM(D17:D19)</f>
        <v>0</v>
      </c>
      <c r="E20" s="731">
        <f t="shared" si="1"/>
        <v>11.548351883098242</v>
      </c>
      <c r="F20" s="731">
        <f t="shared" si="1"/>
        <v>15.659946860300703</v>
      </c>
      <c r="G20" s="731">
        <f t="shared" si="1"/>
        <v>0</v>
      </c>
      <c r="H20" s="731">
        <f t="shared" si="1"/>
        <v>5732.7628493251805</v>
      </c>
      <c r="I20" s="731">
        <f t="shared" si="1"/>
        <v>1309.9216090258121</v>
      </c>
      <c r="J20" s="731">
        <f t="shared" si="1"/>
        <v>0</v>
      </c>
      <c r="K20" s="731">
        <f t="shared" si="1"/>
        <v>0</v>
      </c>
      <c r="L20" s="731">
        <f t="shared" si="1"/>
        <v>0</v>
      </c>
      <c r="M20" s="731">
        <f t="shared" si="1"/>
        <v>0</v>
      </c>
      <c r="N20" s="731">
        <f t="shared" si="1"/>
        <v>373.01542254827712</v>
      </c>
      <c r="O20" s="731">
        <f t="shared" si="1"/>
        <v>0</v>
      </c>
      <c r="P20" s="731">
        <f t="shared" si="1"/>
        <v>0</v>
      </c>
      <c r="Q20" s="732">
        <f t="shared" si="1"/>
        <v>0</v>
      </c>
      <c r="R20" s="733">
        <f t="shared" si="1"/>
        <v>7446.5896151976531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66.879276641654101</v>
      </c>
      <c r="D22" s="727">
        <f>+landbouw!C8</f>
        <v>0</v>
      </c>
      <c r="E22" s="727">
        <f>+landbouw!D8</f>
        <v>1208.0659260490779</v>
      </c>
      <c r="F22" s="727">
        <f>+landbouw!E8</f>
        <v>1.9657862133865607</v>
      </c>
      <c r="G22" s="727">
        <f>+landbouw!F8</f>
        <v>278.61545252270992</v>
      </c>
      <c r="H22" s="727">
        <f>+landbouw!G8</f>
        <v>0</v>
      </c>
      <c r="I22" s="727">
        <f>+landbouw!H8</f>
        <v>0</v>
      </c>
      <c r="J22" s="727">
        <f>+landbouw!I8</f>
        <v>0</v>
      </c>
      <c r="K22" s="727">
        <f>+landbouw!J8</f>
        <v>9.6893709364692207</v>
      </c>
      <c r="L22" s="727">
        <f>+landbouw!K8</f>
        <v>0</v>
      </c>
      <c r="M22" s="727">
        <f>+landbouw!L8</f>
        <v>0</v>
      </c>
      <c r="N22" s="727">
        <f>+landbouw!M8</f>
        <v>0</v>
      </c>
      <c r="O22" s="727">
        <f>+landbouw!N8</f>
        <v>0</v>
      </c>
      <c r="P22" s="727">
        <f>+landbouw!O8</f>
        <v>0</v>
      </c>
      <c r="Q22" s="728">
        <f>+landbouw!P8</f>
        <v>0</v>
      </c>
      <c r="R22" s="729">
        <f>SUM(C22:Q22)</f>
        <v>1565.2158123632978</v>
      </c>
      <c r="S22" s="67"/>
    </row>
    <row r="23" spans="1:19" s="474" customFormat="1" ht="17.25" thickTop="1" thickBot="1">
      <c r="A23" s="734" t="s">
        <v>116</v>
      </c>
      <c r="B23" s="864"/>
      <c r="C23" s="735">
        <f ca="1">C20+C15+C22</f>
        <v>22124.105390325203</v>
      </c>
      <c r="D23" s="735">
        <f t="shared" ref="D23:Q23" ca="1" si="2">D20+D15+D22</f>
        <v>0</v>
      </c>
      <c r="E23" s="735">
        <f t="shared" ca="1" si="2"/>
        <v>58833.960556101112</v>
      </c>
      <c r="F23" s="735">
        <f t="shared" si="2"/>
        <v>827.06007902757312</v>
      </c>
      <c r="G23" s="735">
        <f t="shared" ca="1" si="2"/>
        <v>1699.6982181211097</v>
      </c>
      <c r="H23" s="735">
        <f t="shared" si="2"/>
        <v>5732.7628493251805</v>
      </c>
      <c r="I23" s="735">
        <f t="shared" si="2"/>
        <v>1309.9216090258121</v>
      </c>
      <c r="J23" s="735">
        <f t="shared" si="2"/>
        <v>0</v>
      </c>
      <c r="K23" s="735">
        <f t="shared" si="2"/>
        <v>11.657203828163262</v>
      </c>
      <c r="L23" s="735">
        <f t="shared" si="2"/>
        <v>0</v>
      </c>
      <c r="M23" s="735">
        <f t="shared" ca="1" si="2"/>
        <v>0</v>
      </c>
      <c r="N23" s="735">
        <f t="shared" si="2"/>
        <v>373.01542254827712</v>
      </c>
      <c r="O23" s="735">
        <f t="shared" ca="1" si="2"/>
        <v>4223.3147722283138</v>
      </c>
      <c r="P23" s="735">
        <f t="shared" si="2"/>
        <v>132.88333333333333</v>
      </c>
      <c r="Q23" s="736">
        <f t="shared" si="2"/>
        <v>381.33333333333331</v>
      </c>
      <c r="R23" s="737">
        <f ca="1">R20+R15+R22</f>
        <v>95649.712767197401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1277.6536763848683</v>
      </c>
      <c r="D36" s="718">
        <f ca="1">tertiair!C20</f>
        <v>0</v>
      </c>
      <c r="E36" s="718">
        <f ca="1">tertiair!D20</f>
        <v>2575.1725387286692</v>
      </c>
      <c r="F36" s="718">
        <f>tertiair!E20</f>
        <v>21.851895590243231</v>
      </c>
      <c r="G36" s="718">
        <f ca="1">tertiair!F20</f>
        <v>264.88161784400489</v>
      </c>
      <c r="H36" s="718">
        <f>tertiair!G20</f>
        <v>0</v>
      </c>
      <c r="I36" s="718">
        <f>tertiair!H20</f>
        <v>0</v>
      </c>
      <c r="J36" s="718">
        <f>tertiair!I20</f>
        <v>0</v>
      </c>
      <c r="K36" s="718">
        <f>tertiair!J20</f>
        <v>2.918407400569382E-3</v>
      </c>
      <c r="L36" s="718">
        <f>tertiair!K20</f>
        <v>0</v>
      </c>
      <c r="M36" s="718">
        <f ca="1">tertiair!L20</f>
        <v>0</v>
      </c>
      <c r="N36" s="718">
        <f>tertiair!M20</f>
        <v>0</v>
      </c>
      <c r="O36" s="718">
        <f ca="1">tertiair!N20</f>
        <v>0</v>
      </c>
      <c r="P36" s="718">
        <f>tertiair!O20</f>
        <v>0</v>
      </c>
      <c r="Q36" s="828">
        <f>tertiair!P20</f>
        <v>0</v>
      </c>
      <c r="R36" s="917">
        <f ca="1">SUM(C36:Q36)</f>
        <v>4139.5626469551871</v>
      </c>
    </row>
    <row r="37" spans="1:18">
      <c r="A37" s="885" t="s">
        <v>225</v>
      </c>
      <c r="B37" s="892"/>
      <c r="C37" s="718">
        <f ca="1">huishoudens!B12</f>
        <v>2919.0298504745078</v>
      </c>
      <c r="D37" s="718">
        <f ca="1">huishoudens!C12</f>
        <v>0</v>
      </c>
      <c r="E37" s="718">
        <f>huishoudens!D12</f>
        <v>8831.8529105460984</v>
      </c>
      <c r="F37" s="718">
        <f>huishoudens!E12</f>
        <v>129.53560054548745</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11880.418361566093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225.57724007673107</v>
      </c>
      <c r="D39" s="718">
        <f ca="1">industrie!C22</f>
        <v>0</v>
      </c>
      <c r="E39" s="718">
        <f>industrie!D22</f>
        <v>231.07249891535926</v>
      </c>
      <c r="F39" s="718">
        <f>industrie!E22</f>
        <v>32.354100395801431</v>
      </c>
      <c r="G39" s="718">
        <f>industrie!F22</f>
        <v>114.54748057076786</v>
      </c>
      <c r="H39" s="718">
        <f>industrie!G22</f>
        <v>0</v>
      </c>
      <c r="I39" s="718">
        <f>industrie!H22</f>
        <v>0</v>
      </c>
      <c r="J39" s="718">
        <f>industrie!I22</f>
        <v>0</v>
      </c>
      <c r="K39" s="718">
        <f>industrie!J22</f>
        <v>0.69369443625912142</v>
      </c>
      <c r="L39" s="718">
        <f>industrie!K22</f>
        <v>0</v>
      </c>
      <c r="M39" s="718">
        <f>industrie!L22</f>
        <v>0</v>
      </c>
      <c r="N39" s="718">
        <f>industrie!M22</f>
        <v>0</v>
      </c>
      <c r="O39" s="718">
        <f>industrie!N22</f>
        <v>0</v>
      </c>
      <c r="P39" s="718">
        <f>industrie!O22</f>
        <v>0</v>
      </c>
      <c r="Q39" s="828">
        <f>industrie!P22</f>
        <v>0</v>
      </c>
      <c r="R39" s="918">
        <f ca="1">SUM(C39:Q39)</f>
        <v>604.24501439491871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4422.2607669361068</v>
      </c>
      <c r="D41" s="763">
        <f t="shared" ref="D41:R41" ca="1" si="4">SUM(D35:D40)</f>
        <v>0</v>
      </c>
      <c r="E41" s="763">
        <f t="shared" ca="1" si="4"/>
        <v>11638.097948190127</v>
      </c>
      <c r="F41" s="763">
        <f t="shared" si="4"/>
        <v>183.74159653153211</v>
      </c>
      <c r="G41" s="763">
        <f t="shared" ca="1" si="4"/>
        <v>379.42909841477274</v>
      </c>
      <c r="H41" s="763">
        <f t="shared" si="4"/>
        <v>0</v>
      </c>
      <c r="I41" s="763">
        <f t="shared" si="4"/>
        <v>0</v>
      </c>
      <c r="J41" s="763">
        <f t="shared" si="4"/>
        <v>0</v>
      </c>
      <c r="K41" s="763">
        <f t="shared" si="4"/>
        <v>0.69661284365969078</v>
      </c>
      <c r="L41" s="763">
        <f t="shared" si="4"/>
        <v>0</v>
      </c>
      <c r="M41" s="763">
        <f t="shared" ca="1" si="4"/>
        <v>0</v>
      </c>
      <c r="N41" s="763">
        <f t="shared" si="4"/>
        <v>0</v>
      </c>
      <c r="O41" s="763">
        <f t="shared" ca="1" si="4"/>
        <v>0</v>
      </c>
      <c r="P41" s="763">
        <f t="shared" si="4"/>
        <v>0</v>
      </c>
      <c r="Q41" s="764">
        <f t="shared" si="4"/>
        <v>0</v>
      </c>
      <c r="R41" s="765">
        <f t="shared" ca="1" si="4"/>
        <v>16624.226022916198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131.20538790428884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131.20538790428884</v>
      </c>
    </row>
    <row r="45" spans="1:18" ht="15" thickBot="1">
      <c r="A45" s="888" t="s">
        <v>307</v>
      </c>
      <c r="B45" s="898"/>
      <c r="C45" s="727">
        <f ca="1">transport!B18</f>
        <v>0.73821547775743224</v>
      </c>
      <c r="D45" s="727">
        <f>transport!C18</f>
        <v>0</v>
      </c>
      <c r="E45" s="727">
        <f>transport!D18</f>
        <v>2.3327670803858451</v>
      </c>
      <c r="F45" s="727">
        <f>transport!E18</f>
        <v>3.5548079372882597</v>
      </c>
      <c r="G45" s="727">
        <f>transport!F18</f>
        <v>0</v>
      </c>
      <c r="H45" s="727">
        <f>transport!G18</f>
        <v>1399.4422928655345</v>
      </c>
      <c r="I45" s="727">
        <f>transport!H18</f>
        <v>326.17048064742721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1732.2385640083933</v>
      </c>
    </row>
    <row r="46" spans="1:18" ht="15.75" thickBot="1">
      <c r="A46" s="886" t="s">
        <v>230</v>
      </c>
      <c r="B46" s="899"/>
      <c r="C46" s="763">
        <f t="shared" ref="C46:R46" ca="1" si="5">SUM(C43:C45)</f>
        <v>0.73821547775743224</v>
      </c>
      <c r="D46" s="763">
        <f t="shared" ca="1" si="5"/>
        <v>0</v>
      </c>
      <c r="E46" s="763">
        <f t="shared" si="5"/>
        <v>2.3327670803858451</v>
      </c>
      <c r="F46" s="763">
        <f t="shared" si="5"/>
        <v>3.5548079372882597</v>
      </c>
      <c r="G46" s="763">
        <f t="shared" si="5"/>
        <v>0</v>
      </c>
      <c r="H46" s="763">
        <f t="shared" si="5"/>
        <v>1530.6476807698232</v>
      </c>
      <c r="I46" s="763">
        <f t="shared" si="5"/>
        <v>326.17048064742721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1863.4439519126822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13.410887253275375</v>
      </c>
      <c r="D48" s="718">
        <f ca="1">+landbouw!C12</f>
        <v>0</v>
      </c>
      <c r="E48" s="718">
        <f>+landbouw!D12</f>
        <v>244.02931706191376</v>
      </c>
      <c r="F48" s="718">
        <f>+landbouw!E12</f>
        <v>0.44623347043874928</v>
      </c>
      <c r="G48" s="718">
        <f>+landbouw!F12</f>
        <v>74.390325823563558</v>
      </c>
      <c r="H48" s="718">
        <f>+landbouw!G12</f>
        <v>0</v>
      </c>
      <c r="I48" s="718">
        <f>+landbouw!H12</f>
        <v>0</v>
      </c>
      <c r="J48" s="718">
        <f>+landbouw!I12</f>
        <v>0</v>
      </c>
      <c r="K48" s="718">
        <f>+landbouw!J12</f>
        <v>3.4300373115101039</v>
      </c>
      <c r="L48" s="718">
        <f>+landbouw!K12</f>
        <v>0</v>
      </c>
      <c r="M48" s="718">
        <f>+landbouw!L12</f>
        <v>0</v>
      </c>
      <c r="N48" s="718">
        <f>+landbouw!M12</f>
        <v>0</v>
      </c>
      <c r="O48" s="718">
        <f>+landbouw!N12</f>
        <v>0</v>
      </c>
      <c r="P48" s="718">
        <f>+landbouw!O12</f>
        <v>0</v>
      </c>
      <c r="Q48" s="719">
        <f>+landbouw!P12</f>
        <v>0</v>
      </c>
      <c r="R48" s="761">
        <f ca="1">SUM(C48:Q48)</f>
        <v>335.70680092070154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4436.4098696671399</v>
      </c>
      <c r="D53" s="773">
        <f t="shared" ref="D53:Q53" ca="1" si="6">D41+D46+D48</f>
        <v>0</v>
      </c>
      <c r="E53" s="773">
        <f t="shared" ca="1" si="6"/>
        <v>11884.460032332427</v>
      </c>
      <c r="F53" s="773">
        <f t="shared" si="6"/>
        <v>187.74263793925911</v>
      </c>
      <c r="G53" s="773">
        <f t="shared" ca="1" si="6"/>
        <v>453.8194242383363</v>
      </c>
      <c r="H53" s="773">
        <f t="shared" si="6"/>
        <v>1530.6476807698232</v>
      </c>
      <c r="I53" s="773">
        <f t="shared" si="6"/>
        <v>326.17048064742721</v>
      </c>
      <c r="J53" s="773">
        <f t="shared" si="6"/>
        <v>0</v>
      </c>
      <c r="K53" s="773">
        <f t="shared" si="6"/>
        <v>4.1266501551697949</v>
      </c>
      <c r="L53" s="773">
        <f t="shared" si="6"/>
        <v>0</v>
      </c>
      <c r="M53" s="773">
        <f t="shared" ca="1" si="6"/>
        <v>0</v>
      </c>
      <c r="N53" s="773">
        <f t="shared" si="6"/>
        <v>0</v>
      </c>
      <c r="O53" s="773">
        <f t="shared" ca="1" si="6"/>
        <v>0</v>
      </c>
      <c r="P53" s="773">
        <f>P41+P46+P48</f>
        <v>0</v>
      </c>
      <c r="Q53" s="774">
        <f t="shared" si="6"/>
        <v>0</v>
      </c>
      <c r="R53" s="775">
        <f ca="1">R41+R46+R48</f>
        <v>18823.376775749584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0.20052380837089878</v>
      </c>
      <c r="D55" s="836">
        <f t="shared" ca="1" si="7"/>
        <v>0</v>
      </c>
      <c r="E55" s="836">
        <f t="shared" ca="1" si="7"/>
        <v>0.20200000000000004</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2049.852586401491</v>
      </c>
      <c r="C66" s="795">
        <f>'lokale energieproductie'!B6</f>
        <v>2049.852586401491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2049.852586401491</v>
      </c>
      <c r="C69" s="803">
        <f>SUM(C64:C68)</f>
        <v>2049.852586401491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14557.023797769318</v>
      </c>
      <c r="C4" s="478">
        <f>huishoudens!C8</f>
        <v>0</v>
      </c>
      <c r="D4" s="478">
        <f>huishoudens!D8</f>
        <v>43722.044111614348</v>
      </c>
      <c r="E4" s="478">
        <f>huishoudens!E8</f>
        <v>570.64141209465834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3630.1345812223917</v>
      </c>
      <c r="O4" s="478">
        <f>huishoudens!O8</f>
        <v>132.88333333333333</v>
      </c>
      <c r="P4" s="479">
        <f>huishoudens!P8</f>
        <v>362.26666666666665</v>
      </c>
      <c r="Q4" s="480">
        <f>SUM(B4:P4)</f>
        <v>62974.993902700713</v>
      </c>
    </row>
    <row r="5" spans="1:17">
      <c r="A5" s="477" t="s">
        <v>156</v>
      </c>
      <c r="B5" s="478">
        <f ca="1">tertiair!B16</f>
        <v>5799.2509447507437</v>
      </c>
      <c r="C5" s="478">
        <f ca="1">tertiair!C16</f>
        <v>0</v>
      </c>
      <c r="D5" s="478">
        <f ca="1">tertiair!D16</f>
        <v>12748.378904597372</v>
      </c>
      <c r="E5" s="478">
        <f>tertiair!E16</f>
        <v>96.263857225741106</v>
      </c>
      <c r="F5" s="478">
        <f ca="1">tertiair!F16</f>
        <v>992.06598443447524</v>
      </c>
      <c r="G5" s="478">
        <f>tertiair!G16</f>
        <v>0</v>
      </c>
      <c r="H5" s="478">
        <f>tertiair!H16</f>
        <v>0</v>
      </c>
      <c r="I5" s="478">
        <f>tertiair!I16</f>
        <v>0</v>
      </c>
      <c r="J5" s="478">
        <f>tertiair!J16</f>
        <v>8.2440887021733959E-3</v>
      </c>
      <c r="K5" s="478">
        <f>tertiair!K16</f>
        <v>0</v>
      </c>
      <c r="L5" s="478">
        <f ca="1">tertiair!L16</f>
        <v>0</v>
      </c>
      <c r="M5" s="478">
        <f>tertiair!M16</f>
        <v>0</v>
      </c>
      <c r="N5" s="478">
        <f ca="1">tertiair!N16</f>
        <v>333.61553749419534</v>
      </c>
      <c r="O5" s="478">
        <f>tertiair!O16</f>
        <v>0</v>
      </c>
      <c r="P5" s="479">
        <f>tertiair!P16</f>
        <v>19.066666666666666</v>
      </c>
      <c r="Q5" s="477">
        <f t="shared" ref="Q5:Q13" ca="1" si="0">SUM(B5:P5)</f>
        <v>19988.650139257894</v>
      </c>
    </row>
    <row r="6" spans="1:17">
      <c r="A6" s="477" t="s">
        <v>194</v>
      </c>
      <c r="B6" s="478">
        <f>'openbare verlichting'!B8</f>
        <v>572.33000000000004</v>
      </c>
      <c r="C6" s="478"/>
      <c r="D6" s="478"/>
      <c r="E6" s="478"/>
      <c r="F6" s="478"/>
      <c r="G6" s="478"/>
      <c r="H6" s="478"/>
      <c r="I6" s="478"/>
      <c r="J6" s="478"/>
      <c r="K6" s="478"/>
      <c r="L6" s="478"/>
      <c r="M6" s="478"/>
      <c r="N6" s="478"/>
      <c r="O6" s="478"/>
      <c r="P6" s="479"/>
      <c r="Q6" s="477">
        <f t="shared" si="0"/>
        <v>572.33000000000004</v>
      </c>
    </row>
    <row r="7" spans="1:17">
      <c r="A7" s="477" t="s">
        <v>112</v>
      </c>
      <c r="B7" s="478">
        <f>landbouw!B8</f>
        <v>66.879276641654101</v>
      </c>
      <c r="C7" s="478">
        <f>landbouw!C8</f>
        <v>0</v>
      </c>
      <c r="D7" s="478">
        <f>landbouw!D8</f>
        <v>1208.0659260490779</v>
      </c>
      <c r="E7" s="478">
        <f>landbouw!E8</f>
        <v>1.9657862133865607</v>
      </c>
      <c r="F7" s="478">
        <f>landbouw!F8</f>
        <v>278.61545252270992</v>
      </c>
      <c r="G7" s="478">
        <f>landbouw!G8</f>
        <v>0</v>
      </c>
      <c r="H7" s="478">
        <f>landbouw!H8</f>
        <v>0</v>
      </c>
      <c r="I7" s="478">
        <f>landbouw!I8</f>
        <v>0</v>
      </c>
      <c r="J7" s="478">
        <f>landbouw!J8</f>
        <v>9.6893709364692207</v>
      </c>
      <c r="K7" s="478">
        <f>landbouw!K8</f>
        <v>0</v>
      </c>
      <c r="L7" s="478">
        <f>landbouw!L8</f>
        <v>0</v>
      </c>
      <c r="M7" s="478">
        <f>landbouw!M8</f>
        <v>0</v>
      </c>
      <c r="N7" s="478">
        <f>landbouw!N8</f>
        <v>0</v>
      </c>
      <c r="O7" s="478">
        <f>landbouw!O8</f>
        <v>0</v>
      </c>
      <c r="P7" s="479">
        <f>landbouw!P8</f>
        <v>0</v>
      </c>
      <c r="Q7" s="477">
        <f t="shared" si="0"/>
        <v>1565.2158123632978</v>
      </c>
    </row>
    <row r="8" spans="1:17">
      <c r="A8" s="477" t="s">
        <v>635</v>
      </c>
      <c r="B8" s="478">
        <f>industrie!B18</f>
        <v>1124.939935608505</v>
      </c>
      <c r="C8" s="478">
        <f>industrie!C18</f>
        <v>0</v>
      </c>
      <c r="D8" s="478">
        <f>industrie!D18</f>
        <v>1143.923261957224</v>
      </c>
      <c r="E8" s="478">
        <f>industrie!E18</f>
        <v>142.52907663348648</v>
      </c>
      <c r="F8" s="478">
        <f>industrie!F18</f>
        <v>429.01678116392452</v>
      </c>
      <c r="G8" s="478">
        <f>industrie!G18</f>
        <v>0</v>
      </c>
      <c r="H8" s="478">
        <f>industrie!H18</f>
        <v>0</v>
      </c>
      <c r="I8" s="478">
        <f>industrie!I18</f>
        <v>0</v>
      </c>
      <c r="J8" s="478">
        <f>industrie!J18</f>
        <v>1.9595888029918684</v>
      </c>
      <c r="K8" s="478">
        <f>industrie!K18</f>
        <v>0</v>
      </c>
      <c r="L8" s="478">
        <f>industrie!L18</f>
        <v>0</v>
      </c>
      <c r="M8" s="478">
        <f>industrie!M18</f>
        <v>0</v>
      </c>
      <c r="N8" s="478">
        <f>industrie!N18</f>
        <v>259.56465351172665</v>
      </c>
      <c r="O8" s="478">
        <f>industrie!O18</f>
        <v>0</v>
      </c>
      <c r="P8" s="479">
        <f>industrie!P18</f>
        <v>0</v>
      </c>
      <c r="Q8" s="477">
        <f t="shared" si="0"/>
        <v>3101.9332976778583</v>
      </c>
    </row>
    <row r="9" spans="1:17" s="483" customFormat="1">
      <c r="A9" s="481" t="s">
        <v>561</v>
      </c>
      <c r="B9" s="482">
        <f>transport!B14</f>
        <v>3.6814355549840361</v>
      </c>
      <c r="C9" s="482">
        <f>transport!C14</f>
        <v>0</v>
      </c>
      <c r="D9" s="482">
        <f>transport!D14</f>
        <v>11.548351883098242</v>
      </c>
      <c r="E9" s="482">
        <f>transport!E14</f>
        <v>15.659946860300703</v>
      </c>
      <c r="F9" s="482">
        <f>transport!F14</f>
        <v>0</v>
      </c>
      <c r="G9" s="482">
        <f>transport!G14</f>
        <v>5241.3569021181065</v>
      </c>
      <c r="H9" s="482">
        <f>transport!H14</f>
        <v>1309.9216090258121</v>
      </c>
      <c r="I9" s="482">
        <f>transport!I14</f>
        <v>0</v>
      </c>
      <c r="J9" s="482">
        <f>transport!J14</f>
        <v>0</v>
      </c>
      <c r="K9" s="482">
        <f>transport!K14</f>
        <v>0</v>
      </c>
      <c r="L9" s="482">
        <f>transport!L14</f>
        <v>0</v>
      </c>
      <c r="M9" s="482">
        <f>transport!M14</f>
        <v>345.10573409600505</v>
      </c>
      <c r="N9" s="482">
        <f>transport!N14</f>
        <v>0</v>
      </c>
      <c r="O9" s="482">
        <f>transport!O14</f>
        <v>0</v>
      </c>
      <c r="P9" s="482">
        <f>transport!P14</f>
        <v>0</v>
      </c>
      <c r="Q9" s="481">
        <f>SUM(B9:P9)</f>
        <v>6927.2739795383068</v>
      </c>
    </row>
    <row r="10" spans="1:17">
      <c r="A10" s="477" t="s">
        <v>551</v>
      </c>
      <c r="B10" s="478">
        <f>transport!B54</f>
        <v>0</v>
      </c>
      <c r="C10" s="478">
        <f>transport!C54</f>
        <v>0</v>
      </c>
      <c r="D10" s="478">
        <f>transport!D54</f>
        <v>0</v>
      </c>
      <c r="E10" s="478">
        <f>transport!E54</f>
        <v>0</v>
      </c>
      <c r="F10" s="478">
        <f>transport!F54</f>
        <v>0</v>
      </c>
      <c r="G10" s="478">
        <f>transport!G54</f>
        <v>491.40594720707429</v>
      </c>
      <c r="H10" s="478">
        <f>transport!H54</f>
        <v>0</v>
      </c>
      <c r="I10" s="478">
        <f>transport!I54</f>
        <v>0</v>
      </c>
      <c r="J10" s="478">
        <f>transport!J54</f>
        <v>0</v>
      </c>
      <c r="K10" s="478">
        <f>transport!K54</f>
        <v>0</v>
      </c>
      <c r="L10" s="478">
        <f>transport!L54</f>
        <v>0</v>
      </c>
      <c r="M10" s="478">
        <f>transport!M54</f>
        <v>27.90968845227205</v>
      </c>
      <c r="N10" s="478">
        <f>transport!N54</f>
        <v>0</v>
      </c>
      <c r="O10" s="478">
        <f>transport!O54</f>
        <v>0</v>
      </c>
      <c r="P10" s="479">
        <f>transport!P54</f>
        <v>0</v>
      </c>
      <c r="Q10" s="477">
        <f t="shared" si="0"/>
        <v>519.3156356593463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22124.105390325207</v>
      </c>
      <c r="C14" s="488">
        <f t="shared" ref="C14:Q14" ca="1" si="1">SUM(C4:C13)</f>
        <v>0</v>
      </c>
      <c r="D14" s="488">
        <f t="shared" ca="1" si="1"/>
        <v>58833.960556101112</v>
      </c>
      <c r="E14" s="488">
        <f t="shared" si="1"/>
        <v>827.06007902757312</v>
      </c>
      <c r="F14" s="488">
        <f t="shared" ca="1" si="1"/>
        <v>1699.6982181211097</v>
      </c>
      <c r="G14" s="488">
        <f t="shared" si="1"/>
        <v>5732.7628493251805</v>
      </c>
      <c r="H14" s="488">
        <f t="shared" si="1"/>
        <v>1309.9216090258121</v>
      </c>
      <c r="I14" s="488">
        <f t="shared" si="1"/>
        <v>0</v>
      </c>
      <c r="J14" s="488">
        <f t="shared" si="1"/>
        <v>11.657203828163263</v>
      </c>
      <c r="K14" s="488">
        <f t="shared" si="1"/>
        <v>0</v>
      </c>
      <c r="L14" s="488">
        <f t="shared" ca="1" si="1"/>
        <v>0</v>
      </c>
      <c r="M14" s="488">
        <f t="shared" si="1"/>
        <v>373.01542254827712</v>
      </c>
      <c r="N14" s="488">
        <f t="shared" ca="1" si="1"/>
        <v>4223.3147722283138</v>
      </c>
      <c r="O14" s="488">
        <f t="shared" si="1"/>
        <v>132.88333333333333</v>
      </c>
      <c r="P14" s="489">
        <f t="shared" si="1"/>
        <v>381.33333333333331</v>
      </c>
      <c r="Q14" s="489">
        <f t="shared" ca="1" si="1"/>
        <v>95649.71276719743</v>
      </c>
    </row>
    <row r="16" spans="1:17">
      <c r="A16" s="491" t="s">
        <v>556</v>
      </c>
      <c r="B16" s="841">
        <f ca="1">huishoudens!B10</f>
        <v>0.20052380837089878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2919.0298504745078</v>
      </c>
      <c r="C21" s="478">
        <f t="shared" ref="C21:C30" ca="1" si="3">C4*$C$16</f>
        <v>0</v>
      </c>
      <c r="D21" s="478">
        <f t="shared" ref="D21:D30" si="4">D4*$D$16</f>
        <v>8831.8529105460984</v>
      </c>
      <c r="E21" s="478">
        <f t="shared" ref="E21:E30" si="5">E4*$E$16</f>
        <v>129.53560054548745</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11880.418361566093</v>
      </c>
    </row>
    <row r="22" spans="1:17">
      <c r="A22" s="477" t="s">
        <v>156</v>
      </c>
      <c r="B22" s="478">
        <f t="shared" ca="1" si="2"/>
        <v>1162.8878851399518</v>
      </c>
      <c r="C22" s="478">
        <f t="shared" ca="1" si="3"/>
        <v>0</v>
      </c>
      <c r="D22" s="478">
        <f t="shared" ca="1" si="4"/>
        <v>2575.1725387286692</v>
      </c>
      <c r="E22" s="478">
        <f t="shared" si="5"/>
        <v>21.851895590243231</v>
      </c>
      <c r="F22" s="478">
        <f t="shared" ca="1" si="6"/>
        <v>264.88161784400489</v>
      </c>
      <c r="G22" s="478">
        <f t="shared" si="7"/>
        <v>0</v>
      </c>
      <c r="H22" s="478">
        <f t="shared" si="8"/>
        <v>0</v>
      </c>
      <c r="I22" s="478">
        <f t="shared" si="9"/>
        <v>0</v>
      </c>
      <c r="J22" s="478">
        <f t="shared" si="10"/>
        <v>2.918407400569382E-3</v>
      </c>
      <c r="K22" s="478">
        <f t="shared" si="11"/>
        <v>0</v>
      </c>
      <c r="L22" s="478">
        <f t="shared" ca="1" si="12"/>
        <v>0</v>
      </c>
      <c r="M22" s="478">
        <f t="shared" si="13"/>
        <v>0</v>
      </c>
      <c r="N22" s="478">
        <f t="shared" ca="1" si="14"/>
        <v>0</v>
      </c>
      <c r="O22" s="478">
        <f t="shared" si="15"/>
        <v>0</v>
      </c>
      <c r="P22" s="479">
        <f t="shared" si="16"/>
        <v>0</v>
      </c>
      <c r="Q22" s="477">
        <f t="shared" ref="Q22:Q30" ca="1" si="17">SUM(B22:P22)</f>
        <v>4024.7968557102695</v>
      </c>
    </row>
    <row r="23" spans="1:17">
      <c r="A23" s="477" t="s">
        <v>194</v>
      </c>
      <c r="B23" s="478">
        <f t="shared" ca="1" si="2"/>
        <v>114.76579124491651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114.76579124491651</v>
      </c>
    </row>
    <row r="24" spans="1:17">
      <c r="A24" s="477" t="s">
        <v>112</v>
      </c>
      <c r="B24" s="478">
        <f t="shared" ca="1" si="2"/>
        <v>13.410887253275375</v>
      </c>
      <c r="C24" s="478">
        <f t="shared" ca="1" si="3"/>
        <v>0</v>
      </c>
      <c r="D24" s="478">
        <f t="shared" si="4"/>
        <v>244.02931706191376</v>
      </c>
      <c r="E24" s="478">
        <f t="shared" si="5"/>
        <v>0.44623347043874928</v>
      </c>
      <c r="F24" s="478">
        <f t="shared" si="6"/>
        <v>74.390325823563558</v>
      </c>
      <c r="G24" s="478">
        <f t="shared" si="7"/>
        <v>0</v>
      </c>
      <c r="H24" s="478">
        <f t="shared" si="8"/>
        <v>0</v>
      </c>
      <c r="I24" s="478">
        <f t="shared" si="9"/>
        <v>0</v>
      </c>
      <c r="J24" s="478">
        <f t="shared" si="10"/>
        <v>3.4300373115101039</v>
      </c>
      <c r="K24" s="478">
        <f t="shared" si="11"/>
        <v>0</v>
      </c>
      <c r="L24" s="478">
        <f t="shared" si="12"/>
        <v>0</v>
      </c>
      <c r="M24" s="478">
        <f t="shared" si="13"/>
        <v>0</v>
      </c>
      <c r="N24" s="478">
        <f t="shared" si="14"/>
        <v>0</v>
      </c>
      <c r="O24" s="478">
        <f t="shared" si="15"/>
        <v>0</v>
      </c>
      <c r="P24" s="479">
        <f t="shared" si="16"/>
        <v>0</v>
      </c>
      <c r="Q24" s="477">
        <f t="shared" ca="1" si="17"/>
        <v>335.70680092070154</v>
      </c>
    </row>
    <row r="25" spans="1:17">
      <c r="A25" s="477" t="s">
        <v>635</v>
      </c>
      <c r="B25" s="478">
        <f t="shared" ca="1" si="2"/>
        <v>225.57724007673107</v>
      </c>
      <c r="C25" s="478">
        <f t="shared" ca="1" si="3"/>
        <v>0</v>
      </c>
      <c r="D25" s="478">
        <f t="shared" si="4"/>
        <v>231.07249891535926</v>
      </c>
      <c r="E25" s="478">
        <f t="shared" si="5"/>
        <v>32.354100395801431</v>
      </c>
      <c r="F25" s="478">
        <f t="shared" si="6"/>
        <v>114.54748057076786</v>
      </c>
      <c r="G25" s="478">
        <f t="shared" si="7"/>
        <v>0</v>
      </c>
      <c r="H25" s="478">
        <f t="shared" si="8"/>
        <v>0</v>
      </c>
      <c r="I25" s="478">
        <f t="shared" si="9"/>
        <v>0</v>
      </c>
      <c r="J25" s="478">
        <f t="shared" si="10"/>
        <v>0.69369443625912142</v>
      </c>
      <c r="K25" s="478">
        <f t="shared" si="11"/>
        <v>0</v>
      </c>
      <c r="L25" s="478">
        <f t="shared" si="12"/>
        <v>0</v>
      </c>
      <c r="M25" s="478">
        <f t="shared" si="13"/>
        <v>0</v>
      </c>
      <c r="N25" s="478">
        <f t="shared" si="14"/>
        <v>0</v>
      </c>
      <c r="O25" s="478">
        <f t="shared" si="15"/>
        <v>0</v>
      </c>
      <c r="P25" s="479">
        <f t="shared" si="16"/>
        <v>0</v>
      </c>
      <c r="Q25" s="477">
        <f t="shared" ca="1" si="17"/>
        <v>604.24501439491871</v>
      </c>
    </row>
    <row r="26" spans="1:17" s="483" customFormat="1">
      <c r="A26" s="481" t="s">
        <v>561</v>
      </c>
      <c r="B26" s="835">
        <f t="shared" ca="1" si="2"/>
        <v>0.73821547775743224</v>
      </c>
      <c r="C26" s="482">
        <f t="shared" ca="1" si="3"/>
        <v>0</v>
      </c>
      <c r="D26" s="482">
        <f t="shared" si="4"/>
        <v>2.3327670803858451</v>
      </c>
      <c r="E26" s="482">
        <f t="shared" si="5"/>
        <v>3.5548079372882597</v>
      </c>
      <c r="F26" s="482">
        <f t="shared" si="6"/>
        <v>0</v>
      </c>
      <c r="G26" s="482">
        <f t="shared" si="7"/>
        <v>1399.4422928655345</v>
      </c>
      <c r="H26" s="482">
        <f t="shared" si="8"/>
        <v>326.17048064742721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1732.2385640083933</v>
      </c>
    </row>
    <row r="27" spans="1:17">
      <c r="A27" s="477" t="s">
        <v>551</v>
      </c>
      <c r="B27" s="478">
        <f t="shared" ca="1" si="2"/>
        <v>0</v>
      </c>
      <c r="C27" s="478">
        <f t="shared" ca="1" si="3"/>
        <v>0</v>
      </c>
      <c r="D27" s="478">
        <f t="shared" si="4"/>
        <v>0</v>
      </c>
      <c r="E27" s="478">
        <f t="shared" si="5"/>
        <v>0</v>
      </c>
      <c r="F27" s="478">
        <f t="shared" si="6"/>
        <v>0</v>
      </c>
      <c r="G27" s="478">
        <f t="shared" si="7"/>
        <v>131.20538790428884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131.20538790428884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4436.4098696671399</v>
      </c>
      <c r="C31" s="488">
        <f t="shared" ca="1" si="18"/>
        <v>0</v>
      </c>
      <c r="D31" s="488">
        <f t="shared" ca="1" si="18"/>
        <v>11884.460032332427</v>
      </c>
      <c r="E31" s="488">
        <f t="shared" si="18"/>
        <v>187.74263793925911</v>
      </c>
      <c r="F31" s="488">
        <f t="shared" ca="1" si="18"/>
        <v>453.8194242383363</v>
      </c>
      <c r="G31" s="488">
        <f t="shared" si="18"/>
        <v>1530.6476807698232</v>
      </c>
      <c r="H31" s="488">
        <f t="shared" si="18"/>
        <v>326.17048064742721</v>
      </c>
      <c r="I31" s="488">
        <f t="shared" si="18"/>
        <v>0</v>
      </c>
      <c r="J31" s="488">
        <f t="shared" si="18"/>
        <v>4.1266501551697949</v>
      </c>
      <c r="K31" s="488">
        <f t="shared" si="18"/>
        <v>0</v>
      </c>
      <c r="L31" s="488">
        <f t="shared" ca="1" si="18"/>
        <v>0</v>
      </c>
      <c r="M31" s="488">
        <f t="shared" si="18"/>
        <v>0</v>
      </c>
      <c r="N31" s="488">
        <f t="shared" ca="1" si="18"/>
        <v>0</v>
      </c>
      <c r="O31" s="488">
        <f t="shared" si="18"/>
        <v>0</v>
      </c>
      <c r="P31" s="489">
        <f t="shared" si="18"/>
        <v>0</v>
      </c>
      <c r="Q31" s="489">
        <f t="shared" ca="1" si="18"/>
        <v>18823.376775749581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0.20052380837089878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0.20052380837089878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0.20052380837089878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2018-09-06T12:45:50Z</dcterms:modified>
</cp:coreProperties>
</file>