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I14"/>
  <c r="P31"/>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E8" i="48"/>
  <c r="E25" s="1"/>
  <c r="E31" s="1"/>
  <c r="F13" i="14"/>
  <c r="F15" s="1"/>
  <c r="F23" s="1"/>
  <c r="F55" s="1"/>
  <c r="J22" i="16"/>
  <c r="K39" i="14" s="1"/>
  <c r="K41" s="1"/>
  <c r="K53" s="1"/>
  <c r="K55" s="1"/>
  <c r="J8" i="48"/>
  <c r="J25" s="1"/>
  <c r="J31" s="1"/>
  <c r="N25"/>
  <c r="N31" s="1"/>
  <c r="N14"/>
  <c r="N55" i="14"/>
  <c r="H55"/>
  <c r="E55"/>
  <c r="C78"/>
  <c r="C81" s="1"/>
  <c r="R19"/>
  <c r="R20" s="1"/>
  <c r="H14" i="48"/>
  <c r="G31"/>
  <c r="H26"/>
  <c r="H31" s="1"/>
  <c r="G53" i="14"/>
  <c r="G55" s="1"/>
  <c r="O69" s="1"/>
  <c r="B9" i="6" s="1"/>
  <c r="B12" s="1"/>
  <c r="M53" i="14"/>
  <c r="M55" s="1"/>
  <c r="C12" i="13"/>
  <c r="D37" i="14" s="1"/>
  <c r="D41" s="1"/>
  <c r="C23" i="48"/>
  <c r="C24"/>
  <c r="C27"/>
  <c r="C28"/>
  <c r="C22"/>
  <c r="C25"/>
  <c r="C29"/>
  <c r="C21"/>
  <c r="C26"/>
  <c r="F25"/>
  <c r="F31" s="1"/>
  <c r="F14"/>
  <c r="J14" l="1"/>
  <c r="E14"/>
  <c r="R13" i="14"/>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<sst xmlns="http://schemas.openxmlformats.org/spreadsheetml/2006/main" count="1914" uniqueCount="809">
  <si>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</si>
  <si>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</si>
  <si>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</si>
  <si>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</si>
  <si>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</si>
  <si>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</si>
  <si>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</si>
  <si>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</si>
  <si>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</si>
  <si>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</si>
  <si>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</si>
  <si>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</si>
  <si>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</si>
  <si>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</si>
  <si>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</si>
  <si>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</si>
  <si>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</si>
  <si>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</si>
  <si>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</si>
  <si>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</si>
  <si>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</si>
  <si>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</si>
  <si>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</si>
  <si>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</si>
  <si>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</si>
  <si>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</si>
  <si>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</si>
  <si>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</si>
  <si>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</si>
  <si>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</si>
  <si>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</si>
  <si>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</si>
  <si>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</si>
  <si>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</si>
  <si>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</si>
  <si>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</si>
  <si>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</si>
  <si>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</si>
  <si>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</si>
  <si>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</si>
  <si>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</si>
  <si>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</si>
  <si>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</si>
  <si>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</si>
  <si>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</si>
  <si>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</si>
  <si>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</si>
  <si>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</si>
  <si>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</si>
  <si>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</si>
  <si>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</si>
  <si>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</si>
  <si>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</si>
  <si>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</si>
  <si>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</si>
  <si>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</si>
  <si>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</si>
  <si>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</si>
  <si>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</si>
  <si>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</si>
  <si>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</si>
  <si>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</si>
  <si>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</si>
  <si>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</si>
  <si>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</si>
  <si>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</si>
  <si>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</si>
  <si>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</si>
  <si>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</si>
  <si>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</si>
  <si>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</si>
  <si>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</si>
  <si>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</si>
  <si>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</si>
  <si>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</si>
  <si>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</si>
  <si>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</si>
  <si>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</si>
  <si>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</si>
  <si>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</si>
  <si>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</si>
  <si>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</si>
  <si>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</si>
  <si>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</si>
  <si>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</si>
  <si>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</si>
  <si>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</si>
  <si>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</si>
  <si>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</si>
  <si>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</si>
  <si>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</si>
  <si>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</si>
  <si>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</si>
  <si>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</si>
  <si>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</si>
  <si>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</si>
  <si>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</si>
  <si>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</si>
  <si>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</si>
  <si>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</si>
  <si>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</si>
  <si>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</si>
  <si>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</si>
  <si>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</si>
  <si>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</si>
  <si>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</si>
  <si>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</si>
  <si>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</si>
  <si>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</si>
  <si>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</si>
  <si>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</si>
  <si>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</si>
  <si>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</si>
  <si>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</si>
  <si>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</si>
  <si>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</si>
  <si>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</si>
  <si>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</si>
  <si>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</si>
  <si>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</si>
  <si>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</si>
  <si>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</si>
  <si>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</si>
  <si>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</si>
  <si>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</si>
  <si>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</si>
  <si>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</si>
  <si>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</si>
  <si>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</si>
  <si>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</si>
  <si>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</si>
  <si>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</si>
  <si>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</si>
  <si>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</si>
  <si>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</si>
  <si>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</si>
  <si>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</si>
  <si>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</si>
  <si>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</si>
  <si>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</si>
  <si>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</si>
  <si>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</si>
  <si>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</si>
  <si>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</si>
  <si>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</si>
  <si>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</si>
  <si>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</si>
  <si>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</si>
  <si>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</si>
  <si>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</si>
  <si>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</si>
  <si>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</si>
  <si>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</si>
  <si>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</si>
  <si>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</si>
  <si>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</si>
  <si>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</si>
  <si>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</si>
  <si>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</si>
  <si>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</si>
  <si>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</si>
  <si>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</si>
  <si>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</si>
  <si>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</si>
  <si>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</si>
  <si>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</si>
  <si>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</si>
  <si>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</si>
  <si>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</si>
  <si>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</si>
  <si>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</si>
  <si>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</si>
  <si>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</si>
  <si>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</si>
  <si>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</si>
  <si>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</si>
  <si>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</si>
  <si>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</si>
  <si>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</si>
  <si>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</si>
  <si>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</si>
  <si>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</si>
  <si>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</si>
  <si>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</si>
  <si>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</si>
  <si>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</si>
  <si>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</si>
  <si>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</si>
  <si>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</si>
  <si>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</si>
  <si>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</si>
  <si>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</si>
  <si>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</si>
  <si>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</si>
  <si>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</si>
  <si>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</si>
  <si>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</si>
  <si>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</si>
  <si>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</si>
  <si>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</si>
  <si>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</si>
  <si>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</si>
  <si>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</si>
  <si>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</si>
  <si>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</si>
  <si>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</si>
  <si>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</si>
  <si>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</si>
  <si>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</si>
  <si>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</si>
  <si>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</si>
  <si>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</si>
  <si>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</si>
  <si>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</si>
  <si>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</si>
  <si>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</si>
  <si>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</si>
  <si>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</si>
  <si>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</si>
  <si>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</si>
  <si>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</si>
  <si>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</si>
  <si>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</si>
  <si>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</si>
  <si>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</si>
  <si>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</si>
  <si>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</si>
  <si>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</si>
  <si>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</si>
  <si>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</si>
  <si>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</si>
  <si>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</si>
  <si>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</si>
  <si>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</si>
  <si>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</si>
  <si>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</si>
  <si>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</si>
  <si>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</si>
  <si>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</si>
  <si>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</si>
  <si>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</si>
  <si>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</si>
  <si>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</si>
  <si>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</si>
  <si>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</si>
  <si>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</si>
  <si>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</si>
  <si>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</si>
  <si>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</si>
  <si>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</si>
  <si>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</si>
  <si>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</si>
  <si>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</si>
  <si>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</si>
  <si>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</si>
  <si>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</si>
  <si>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</si>
  <si>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</si>
  <si>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</si>
  <si>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</si>
  <si>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</si>
  <si>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</si>
  <si>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</si>
  <si>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</si>
  <si>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</si>
  <si>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</si>
  <si>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</si>
  <si>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</si>
  <si>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</si>
  <si>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</si>
  <si>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</si>
  <si>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</si>
  <si>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</si>
  <si>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</si>
  <si>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</si>
  <si>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</si>
  <si>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</si>
  <si>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</si>
  <si>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</si>
  <si>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</si>
  <si>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</si>
  <si>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</si>
  <si>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</si>
  <si>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</si>
  <si>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</si>
  <si>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</si>
  <si>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</si>
  <si>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</si>
  <si>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</si>
  <si>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</si>
  <si>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</si>
  <si>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</si>
  <si>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</si>
  <si>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</si>
  <si>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</si>
  <si>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</si>
  <si>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</si>
  <si>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</si>
  <si>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</si>
  <si>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</si>
  <si>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</si>
  <si>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</si>
  <si>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</si>
  <si>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</si>
  <si>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</si>
  <si>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</si>
  <si>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</si>
  <si>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</si>
  <si>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</si>
  <si>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</si>
  <si>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</si>
  <si>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</si>
  <si>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</si>
  <si>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</si>
  <si>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</si>
  <si>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</si>
  <si>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</si>
  <si>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</si>
  <si>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</si>
  <si>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</si>
  <si>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</si>
  <si>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</si>
  <si>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</si>
  <si>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</si>
  <si>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</si>
  <si>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</si>
  <si>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</si>
  <si>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</si>
  <si>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</si>
  <si>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</si>
  <si>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</si>
  <si>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</si>
  <si>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</si>
  <si>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</si>
  <si>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</si>
  <si>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</si>
  <si>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</si>
  <si>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</si>
  <si>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</si>
  <si>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</si>
  <si>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</si>
  <si>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</si>
  <si>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</si>
  <si>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</si>
  <si>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</si>
  <si>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</si>
  <si>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</si>
  <si>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</si>
  <si>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</si>
  <si>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</si>
  <si>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</si>
  <si>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</si>
  <si>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</si>
  <si>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</si>
  <si>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</si>
  <si>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</si>
  <si>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</si>
  <si>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</si>
  <si>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</si>
  <si>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</si>
  <si>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</si>
  <si>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</si>
  <si>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</si>
  <si>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</si>
  <si>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</si>
  <si>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</si>
  <si>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</si>
  <si>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</si>
  <si>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</si>
  <si>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</si>
  <si>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</si>
  <si>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</si>
  <si>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</si>
  <si>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</si>
  <si>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</si>
  <si>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</si>
  <si>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</si>
  <si>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</si>
  <si>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</si>
  <si>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</si>
  <si>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</si>
  <si>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</si>
  <si>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</si>
  <si>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</si>
  <si>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</si>
  <si>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</si>
  <si>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</si>
  <si>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</si>
  <si>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</si>
  <si>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</si>
  <si>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</si>
  <si>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</si>
  <si>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</si>
  <si>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</si>
  <si>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</si>
  <si>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</si>
  <si>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</si>
  <si>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</si>
  <si>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</si>
  <si>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</si>
  <si>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</si>
  <si>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</si>
  <si>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</si>
  <si>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</si>
  <si>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</si>
  <si>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</si>
  <si>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</si>
  <si>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</si>
  <si>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</si>
  <si>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</si>
  <si>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</si>
  <si>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</si>
  <si>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</si>
  <si>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</si>
  <si>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</si>
  <si>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</si>
  <si>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</si>
  <si>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</si>
  <si>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</si>
  <si>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</si>
  <si>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</si>
  <si>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</si>
  <si>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</si>
  <si>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</si>
  <si>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</si>
  <si>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</si>
  <si>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</si>
  <si>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</si>
  <si>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</si>
  <si>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</si>
  <si>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</si>
  <si>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</si>
  <si>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</si>
  <si>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</si>
  <si>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</si>
  <si>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</si>
  <si>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</si>
  <si>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</si>
  <si>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</si>
  <si>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</si>
  <si>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</si>
  <si>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</si>
  <si>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</si>
  <si>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</si>
  <si>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</si>
  <si>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</si>
  <si>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</si>
  <si>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</si>
  <si>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</si>
  <si>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</si>
  <si>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</si>
  <si>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</si>
  <si>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</si>
  <si>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</si>
  <si>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</si>
  <si>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</si>
  <si>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</si>
  <si>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</si>
  <si>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</si>
  <si>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</si>
  <si>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</si>
  <si>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</si>
  <si>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</si>
  <si>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</si>
  <si>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</si>
  <si>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</si>
  <si>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</si>
  <si>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</si>
  <si>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</si>
  <si>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</si>
  <si>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</si>
  <si>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</si>
  <si>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</si>
  <si>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</si>
  <si>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</si>
  <si>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</si>
  <si>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</si>
  <si>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</si>
  <si>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</si>
  <si>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</si>
  <si>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</si>
  <si>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</si>
  <si>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</si>
  <si>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</si>
  <si>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</si>
  <si>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</si>
  <si>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</si>
  <si>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</si>
  <si>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</si>
  <si>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</si>
  <si>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</si>
  <si>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</si>
  <si>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</si>
  <si>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</si>
  <si>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</si>
  <si>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</si>
  <si>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</si>
  <si>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</si>
  <si>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</si>
  <si>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</si>
  <si>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</si>
  <si>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</si>
  <si>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</si>
  <si>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</si>
  <si>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</si>
  <si>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</si>
  <si>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</si>
  <si>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</si>
  <si>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</si>
  <si>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</si>
  <si>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</si>
  <si>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</si>
  <si>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</si>
  <si>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</si>
  <si>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</si>
  <si>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</si>
  <si>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</si>
  <si>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</si>
  <si>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</si>
  <si>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</si>
  <si>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</si>
  <si>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</si>
  <si>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</si>
  <si>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</si>
  <si>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</si>
  <si>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</si>
  <si>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</si>
  <si>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</si>
  <si>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</si>
  <si>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</si>
  <si>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</si>
  <si>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</si>
  <si>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</si>
  <si>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</si>
  <si>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</si>
  <si>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</si>
  <si>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</si>
  <si>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</si>
  <si>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</si>
  <si>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</si>
  <si>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</si>
  <si>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</si>
  <si>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</si>
  <si>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</si>
  <si>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</si>
  <si>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</si>
  <si>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</si>
  <si>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</si>
  <si>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</si>
  <si>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</si>
  <si>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</si>
  <si>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</si>
  <si>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</si>
  <si>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</si>
  <si>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</si>
  <si>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</si>
  <si>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</si>
  <si>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</si>
  <si>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</si>
  <si>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</si>
  <si>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</si>
  <si>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</si>
  <si>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</si>
  <si>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</si>
  <si>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</si>
  <si>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</si>
  <si>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</si>
  <si>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</si>
  <si>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</si>
  <si>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</si>
  <si>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</si>
  <si>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</si>
  <si>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</si>
  <si>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</si>
  <si>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</si>
  <si>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</si>
  <si>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</si>
  <si>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</si>
  <si>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</si>
  <si>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</si>
  <si>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</si>
  <si>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</si>
  <si>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</si>
  <si>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</si>
  <si>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</si>
  <si>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</si>
  <si>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</si>
  <si>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</si>
  <si>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</si>
  <si>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</si>
  <si>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</si>
  <si>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</si>
  <si>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</si>
  <si>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</si>
  <si>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</si>
  <si>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</si>
  <si>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</si>
  <si>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</si>
  <si>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</si>
  <si>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</si>
  <si>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</si>
  <si>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</si>
  <si>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</si>
  <si>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</si>
  <si>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</si>
  <si>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</si>
  <si>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</si>
  <si>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</si>
  <si>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</si>
  <si>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</si>
  <si>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</si>
  <si>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</si>
  <si>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</si>
  <si>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</si>
  <si>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</si>
  <si>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</si>
  <si>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</si>
  <si>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</si>
  <si>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</si>
  <si>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</si>
  <si>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</si>
  <si>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</si>
  <si>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</si>
  <si>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</si>
  <si>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</si>
  <si>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</si>
  <si>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</si>
  <si>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</si>
  <si>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</si>
  <si>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</si>
  <si>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</si>
  <si>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</si>
  <si>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</si>
  <si>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</si>
  <si>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</si>
  <si>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</si>
  <si>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</si>
  <si>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</si>
  <si>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</si>
  <si>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</si>
  <si>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</si>
  <si>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</si>
  <si>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</si>
  <si>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</si>
  <si>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</si>
  <si>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</si>
  <si>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</si>
  <si>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</si>
  <si>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</si>
  <si>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</si>
  <si>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</si>
  <si>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</si>
  <si>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</si>
  <si>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</si>
  <si>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</si>
  <si>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</si>
  <si>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</si>
  <si>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</si>
  <si>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</si>
  <si>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</si>
  <si>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</si>
  <si>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</si>
  <si>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</si>
  <si>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</si>
  <si>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</si>
  <si>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</si>
  <si>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</si>
  <si>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</si>
  <si>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</si>
  <si>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</si>
  <si>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</si>
  <si>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</si>
  <si>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</si>
  <si>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</si>
  <si>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</si>
  <si>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</si>
  <si>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</si>
  <si>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</si>
  <si>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</si>
  <si>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</si>
  <si>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</si>
  <si>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</si>
  <si>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</si>
  <si>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</si>
  <si>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</si>
  <si>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</si>
  <si>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</si>
  <si>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</si>
  <si>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</si>
  <si>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</si>
  <si>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</si>
  <si>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</si>
  <si>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</si>
  <si>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</si>
  <si>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</si>
  <si>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</si>
  <si>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</si>
  <si>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</si>
  <si>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</si>
  <si>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</si>
  <si>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</si>
  <si>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</si>
  <si>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</si>
  <si>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</si>
  <si>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</si>
  <si>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</si>
  <si>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</si>
  <si>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</si>
  <si>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</si>
  <si>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</si>
  <si>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</si>
  <si>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</si>
  <si>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</si>
  <si>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</si>
  <si>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</si>
  <si>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</si>
  <si>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</si>
  <si>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</si>
  <si>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</si>
  <si>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</si>
  <si>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</si>
  <si>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</si>
  <si>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</si>
  <si>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</si>
  <si>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</si>
  <si>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</si>
  <si>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</si>
  <si>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</si>
  <si>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</si>
  <si>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</si>
  <si>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</si>
  <si>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</si>
  <si>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</si>
  <si>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</si>
  <si>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</si>
  <si>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</si>
  <si>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</si>
  <si>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</si>
  <si>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</si>
  <si>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</si>
  <si>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</si>
  <si>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</si>
  <si>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</si>
  <si>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</si>
  <si>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</si>
  <si>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</si>
  <si>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</si>
  <si>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</si>
  <si>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</si>
  <si>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</si>
  <si>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</si>
  <si>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</si>
  <si>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</si>
  <si>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</si>
  <si>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</si>
  <si>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</si>
  <si>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</si>
  <si>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</si>
  <si>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</si>
  <si>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</si>
  <si>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</si>
  <si>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</si>
  <si>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</si>
  <si>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</si>
  <si>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</si>
  <si>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</si>
  <si>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</si>
  <si>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</si>
  <si>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</si>
  <si>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</si>
  <si>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</si>
  <si>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</si>
  <si>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</si>
  <si>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</si>
  <si>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</si>
  <si>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</si>
  <si>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</si>
  <si>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</si>
  <si>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</si>
  <si>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</si>
  <si>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</si>
  <si>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</si>
  <si>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</si>
  <si>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</si>
  <si>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</si>
  <si>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</si>
  <si>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</si>
  <si>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</si>
  <si>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</si>
  <si>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</si>
  <si>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</si>
  <si>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</si>
  <si>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</si>
  <si>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</si>
  <si>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</si>
  <si>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</si>
  <si>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</si>
  <si>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</si>
  <si>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</si>
  <si>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</si>
  <si>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</si>
  <si>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11023</t>
  </si>
  <si>
    <t>KAPELLEN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</si>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</sst>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231728.3762192344</c:v>
                </c:pt>
                <c:pt idx="1">
                  <c:v>85246.4945241635</c:v>
                </c:pt>
                <c:pt idx="2">
                  <c:v>1047.481</c:v>
                </c:pt>
                <c:pt idx="3">
                  <c:v>5252.047730042912</c:v>
                </c:pt>
                <c:pt idx="4">
                  <c:v>19922.402851138144</c:v>
                </c:pt>
                <c:pt idx="5">
                  <c:v>74577.614380813684</c:v>
                </c:pt>
                <c:pt idx="6">
                  <c:v>2333.9836934898644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00736"/>
        <c:axId val="182551680"/>
      </c:barChart>
      <c:catAx>
        <c:axId val="182500736"/>
        <c:scaling>
          <c:orientation val="minMax"/>
        </c:scaling>
        <c:axPos val="b"/>
        <c:numFmt formatCode="General" sourceLinked="0"/>
        <c:tickLblPos val="nextTo"/>
        <c:crossAx val="182551680"/>
        <c:crosses val="autoZero"/>
        <c:auto val="1"/>
        <c:lblAlgn val="ctr"/>
        <c:lblOffset val="100"/>
      </c:catAx>
      <c:valAx>
        <c:axId val="182551680"/>
        <c:scaling>
          <c:orientation val="minMax"/>
        </c:scaling>
        <c:axPos val="l"/>
        <c:majorGridlines/>
        <c:numFmt formatCode="#,##0" sourceLinked="1"/>
        <c:tickLblPos val="nextTo"/>
        <c:crossAx val="1825007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231728.3762192344</c:v>
                </c:pt>
                <c:pt idx="1">
                  <c:v>85246.4945241635</c:v>
                </c:pt>
                <c:pt idx="2">
                  <c:v>1047.481</c:v>
                </c:pt>
                <c:pt idx="3">
                  <c:v>5252.047730042912</c:v>
                </c:pt>
                <c:pt idx="4">
                  <c:v>19922.402851138144</c:v>
                </c:pt>
                <c:pt idx="5">
                  <c:v>74577.614380813684</c:v>
                </c:pt>
                <c:pt idx="6">
                  <c:v>2333.9836934898644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43901.590256852294</c:v>
                </c:pt>
                <c:pt idx="1">
                  <c:v>17068.772522578933</c:v>
                </c:pt>
                <c:pt idx="2">
                  <c:v>216.84747919625656</c:v>
                </c:pt>
                <c:pt idx="3">
                  <c:v>1096.81865557843</c:v>
                </c:pt>
                <c:pt idx="4">
                  <c:v>3961.1797990295427</c:v>
                </c:pt>
                <c:pt idx="5">
                  <c:v>18647.808577168711</c:v>
                </c:pt>
                <c:pt idx="6">
                  <c:v>589.68229500314885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999296"/>
        <c:axId val="183005184"/>
      </c:barChart>
      <c:catAx>
        <c:axId val="182999296"/>
        <c:scaling>
          <c:orientation val="minMax"/>
        </c:scaling>
        <c:axPos val="b"/>
        <c:numFmt formatCode="General" sourceLinked="0"/>
        <c:tickLblPos val="nextTo"/>
        <c:crossAx val="183005184"/>
        <c:crosses val="autoZero"/>
        <c:auto val="1"/>
        <c:lblAlgn val="ctr"/>
        <c:lblOffset val="100"/>
      </c:catAx>
      <c:valAx>
        <c:axId val="183005184"/>
        <c:scaling>
          <c:orientation val="minMax"/>
        </c:scaling>
        <c:axPos val="l"/>
        <c:majorGridlines/>
        <c:numFmt formatCode="#,##0" sourceLinked="1"/>
        <c:tickLblPos val="nextTo"/>
        <c:crossAx val="1829992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43901.590256852294</c:v>
                </c:pt>
                <c:pt idx="1">
                  <c:v>17068.772522578933</c:v>
                </c:pt>
                <c:pt idx="2">
                  <c:v>216.84747919625656</c:v>
                </c:pt>
                <c:pt idx="3">
                  <c:v>1096.81865557843</c:v>
                </c:pt>
                <c:pt idx="4">
                  <c:v>3961.1797990295427</c:v>
                </c:pt>
                <c:pt idx="5">
                  <c:v>18647.808577168711</c:v>
                </c:pt>
                <c:pt idx="6">
                  <c:v>589.68229500314885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11023</v>
      </c>
      <c r="B6" s="415"/>
      <c r="C6" s="416"/>
    </row>
    <row r="7" spans="1:7" s="413" customFormat="1" ht="15.75" customHeight="1">
      <c r="A7" s="417" t="str">
        <f>txtMunicipality</f>
        <v>KAPELLEN</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27851.105207840403</v>
      </c>
      <c r="D10" s="718">
        <f ca="1">tertiair!C16</f>
        <v>0</v>
      </c>
      <c r="E10" s="718">
        <f ca="1">tertiair!D16</f>
        <v>50310.594714439525</v>
      </c>
      <c r="F10" s="718">
        <f>tertiair!E16</f>
        <v>380.98375448960758</v>
      </c>
      <c r="G10" s="718">
        <f ca="1">tertiair!F16</f>
        <v>4759.1348546655654</v>
      </c>
      <c r="H10" s="718">
        <f>tertiair!G16</f>
        <v>0</v>
      </c>
      <c r="I10" s="718">
        <f>tertiair!H16</f>
        <v>0</v>
      </c>
      <c r="J10" s="718">
        <f>tertiair!I16</f>
        <v>0</v>
      </c>
      <c r="K10" s="718">
        <f>tertiair!J16</f>
        <v>7.3229413313571454E-2</v>
      </c>
      <c r="L10" s="718">
        <f>tertiair!K16</f>
        <v>0</v>
      </c>
      <c r="M10" s="718">
        <f ca="1">tertiair!L16</f>
        <v>0</v>
      </c>
      <c r="N10" s="718">
        <f>tertiair!M16</f>
        <v>0</v>
      </c>
      <c r="O10" s="718">
        <f ca="1">tertiair!N16</f>
        <v>2912.6904299817475</v>
      </c>
      <c r="P10" s="718">
        <f>tertiair!O16</f>
        <v>3.1266666666666669</v>
      </c>
      <c r="Q10" s="719">
        <f>tertiair!P16</f>
        <v>76.266666666666666</v>
      </c>
      <c r="R10" s="721">
        <f ca="1">SUM(C10:Q10)</f>
        <v>86293.975524163499</v>
      </c>
      <c r="S10" s="67"/>
    </row>
    <row r="11" spans="1:19" s="474" customFormat="1">
      <c r="A11" s="870" t="s">
        <v>225</v>
      </c>
      <c r="B11" s="875"/>
      <c r="C11" s="718">
        <f>huishoudens!B8</f>
        <v>51701.351375014106</v>
      </c>
      <c r="D11" s="718">
        <f>huishoudens!C8</f>
        <v>0</v>
      </c>
      <c r="E11" s="718">
        <f>huishoudens!D8</f>
        <v>163079.80045215474</v>
      </c>
      <c r="F11" s="718">
        <f>huishoudens!E8</f>
        <v>1129.3276061804029</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14506.590119218487</v>
      </c>
      <c r="P11" s="718">
        <f>huishoudens!O8</f>
        <v>262.64000000000004</v>
      </c>
      <c r="Q11" s="719">
        <f>huishoudens!P8</f>
        <v>1048.6666666666667</v>
      </c>
      <c r="R11" s="721">
        <f>SUM(C11:Q11)</f>
        <v>231728.3762192344</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6562.7222254937988</v>
      </c>
      <c r="D13" s="718">
        <f>industrie!C18</f>
        <v>0</v>
      </c>
      <c r="E13" s="718">
        <f>industrie!D18</f>
        <v>6220.6132787433035</v>
      </c>
      <c r="F13" s="718">
        <f>industrie!E18</f>
        <v>1367.5829990648365</v>
      </c>
      <c r="G13" s="718">
        <f>industrie!F18</f>
        <v>3876.0841588322232</v>
      </c>
      <c r="H13" s="718">
        <f>industrie!G18</f>
        <v>0</v>
      </c>
      <c r="I13" s="718">
        <f>industrie!H18</f>
        <v>0</v>
      </c>
      <c r="J13" s="718">
        <f>industrie!I18</f>
        <v>0</v>
      </c>
      <c r="K13" s="718">
        <f>industrie!J18</f>
        <v>1.8590829352598368</v>
      </c>
      <c r="L13" s="718">
        <f>industrie!K18</f>
        <v>0</v>
      </c>
      <c r="M13" s="718">
        <f>industrie!L18</f>
        <v>0</v>
      </c>
      <c r="N13" s="718">
        <f>industrie!M18</f>
        <v>0</v>
      </c>
      <c r="O13" s="718">
        <f>industrie!N18</f>
        <v>1893.5411060687215</v>
      </c>
      <c r="P13" s="718">
        <f>industrie!O18</f>
        <v>0</v>
      </c>
      <c r="Q13" s="719">
        <f>industrie!P18</f>
        <v>0</v>
      </c>
      <c r="R13" s="721">
        <f>SUM(C13:Q13)</f>
        <v>19922.402851138144</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86115.178808348297</v>
      </c>
      <c r="D15" s="723">
        <f t="shared" ref="D15:Q15" ca="1" si="0">SUM(D9:D14)</f>
        <v>0</v>
      </c>
      <c r="E15" s="723">
        <f t="shared" ca="1" si="0"/>
        <v>219611.00844533759</v>
      </c>
      <c r="F15" s="723">
        <f t="shared" si="0"/>
        <v>2877.8943597348471</v>
      </c>
      <c r="G15" s="723">
        <f t="shared" ca="1" si="0"/>
        <v>8635.2190134977882</v>
      </c>
      <c r="H15" s="723">
        <f t="shared" si="0"/>
        <v>0</v>
      </c>
      <c r="I15" s="723">
        <f t="shared" si="0"/>
        <v>0</v>
      </c>
      <c r="J15" s="723">
        <f t="shared" si="0"/>
        <v>0</v>
      </c>
      <c r="K15" s="723">
        <f t="shared" si="0"/>
        <v>1.9323123485734082</v>
      </c>
      <c r="L15" s="723">
        <f t="shared" si="0"/>
        <v>0</v>
      </c>
      <c r="M15" s="723">
        <f t="shared" ca="1" si="0"/>
        <v>0</v>
      </c>
      <c r="N15" s="723">
        <f t="shared" si="0"/>
        <v>0</v>
      </c>
      <c r="O15" s="723">
        <f t="shared" ca="1" si="0"/>
        <v>19312.821655268956</v>
      </c>
      <c r="P15" s="723">
        <f t="shared" si="0"/>
        <v>265.76666666666671</v>
      </c>
      <c r="Q15" s="724">
        <f t="shared" si="0"/>
        <v>1124.9333333333334</v>
      </c>
      <c r="R15" s="725">
        <f ca="1">SUM(R9:R14)</f>
        <v>337944.75459453603</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2208.5479213601079</v>
      </c>
      <c r="I18" s="718">
        <f>transport!H54</f>
        <v>0</v>
      </c>
      <c r="J18" s="718">
        <f>transport!I54</f>
        <v>0</v>
      </c>
      <c r="K18" s="718">
        <f>transport!J54</f>
        <v>0</v>
      </c>
      <c r="L18" s="718">
        <f>transport!K54</f>
        <v>0</v>
      </c>
      <c r="M18" s="718">
        <f>transport!L54</f>
        <v>0</v>
      </c>
      <c r="N18" s="718">
        <f>transport!M54</f>
        <v>125.4357721297563</v>
      </c>
      <c r="O18" s="718">
        <f>transport!N54</f>
        <v>0</v>
      </c>
      <c r="P18" s="718">
        <f>transport!O54</f>
        <v>0</v>
      </c>
      <c r="Q18" s="719">
        <f>transport!P54</f>
        <v>0</v>
      </c>
      <c r="R18" s="721">
        <f>SUM(C18:Q18)</f>
        <v>2333.9836934898644</v>
      </c>
      <c r="S18" s="67"/>
    </row>
    <row r="19" spans="1:19" s="474" customFormat="1" ht="15" thickBot="1">
      <c r="A19" s="870" t="s">
        <v>307</v>
      </c>
      <c r="B19" s="875"/>
      <c r="C19" s="727">
        <f>transport!B14</f>
        <v>35.323168158195834</v>
      </c>
      <c r="D19" s="727">
        <f>transport!C14</f>
        <v>0</v>
      </c>
      <c r="E19" s="727">
        <f>transport!D14</f>
        <v>126.50530094106078</v>
      </c>
      <c r="F19" s="727">
        <f>transport!E14</f>
        <v>168.08253499483541</v>
      </c>
      <c r="G19" s="727">
        <f>transport!F14</f>
        <v>0</v>
      </c>
      <c r="H19" s="727">
        <f>transport!G14</f>
        <v>56296.4996682001</v>
      </c>
      <c r="I19" s="727">
        <f>transport!H14</f>
        <v>14239.445084173831</v>
      </c>
      <c r="J19" s="727">
        <f>transport!I14</f>
        <v>0</v>
      </c>
      <c r="K19" s="727">
        <f>transport!J14</f>
        <v>0</v>
      </c>
      <c r="L19" s="727">
        <f>transport!K14</f>
        <v>0</v>
      </c>
      <c r="M19" s="727">
        <f>transport!L14</f>
        <v>0</v>
      </c>
      <c r="N19" s="727">
        <f>transport!M14</f>
        <v>3711.7586243456649</v>
      </c>
      <c r="O19" s="727">
        <f>transport!N14</f>
        <v>0</v>
      </c>
      <c r="P19" s="727">
        <f>transport!O14</f>
        <v>0</v>
      </c>
      <c r="Q19" s="728">
        <f>transport!P14</f>
        <v>0</v>
      </c>
      <c r="R19" s="729">
        <f>SUM(C19:Q19)</f>
        <v>74577.614380813684</v>
      </c>
      <c r="S19" s="67"/>
    </row>
    <row r="20" spans="1:19" s="474" customFormat="1" ht="15.75" thickBot="1">
      <c r="A20" s="730" t="s">
        <v>230</v>
      </c>
      <c r="B20" s="878"/>
      <c r="C20" s="873">
        <f>SUM(C17:C19)</f>
        <v>35.323168158195834</v>
      </c>
      <c r="D20" s="731">
        <f t="shared" ref="D20:R20" si="1">SUM(D17:D19)</f>
        <v>0</v>
      </c>
      <c r="E20" s="731">
        <f t="shared" si="1"/>
        <v>126.50530094106078</v>
      </c>
      <c r="F20" s="731">
        <f t="shared" si="1"/>
        <v>168.08253499483541</v>
      </c>
      <c r="G20" s="731">
        <f t="shared" si="1"/>
        <v>0</v>
      </c>
      <c r="H20" s="731">
        <f t="shared" si="1"/>
        <v>58505.047589560207</v>
      </c>
      <c r="I20" s="731">
        <f t="shared" si="1"/>
        <v>14239.445084173831</v>
      </c>
      <c r="J20" s="731">
        <f t="shared" si="1"/>
        <v>0</v>
      </c>
      <c r="K20" s="731">
        <f t="shared" si="1"/>
        <v>0</v>
      </c>
      <c r="L20" s="731">
        <f t="shared" si="1"/>
        <v>0</v>
      </c>
      <c r="M20" s="731">
        <f t="shared" si="1"/>
        <v>0</v>
      </c>
      <c r="N20" s="731">
        <f t="shared" si="1"/>
        <v>3837.1943964754214</v>
      </c>
      <c r="O20" s="731">
        <f t="shared" si="1"/>
        <v>0</v>
      </c>
      <c r="P20" s="731">
        <f t="shared" si="1"/>
        <v>0</v>
      </c>
      <c r="Q20" s="732">
        <f t="shared" si="1"/>
        <v>0</v>
      </c>
      <c r="R20" s="733">
        <f t="shared" si="1"/>
        <v>76911.598074303547</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120.26026700831869</v>
      </c>
      <c r="D22" s="727">
        <f>+landbouw!C8</f>
        <v>0</v>
      </c>
      <c r="E22" s="727">
        <f>+landbouw!D8</f>
        <v>4609.831742566339</v>
      </c>
      <c r="F22" s="727">
        <f>+landbouw!E8</f>
        <v>3.5348165646262379</v>
      </c>
      <c r="G22" s="727">
        <f>+landbouw!F8</f>
        <v>500.99777383291899</v>
      </c>
      <c r="H22" s="727">
        <f>+landbouw!G8</f>
        <v>0</v>
      </c>
      <c r="I22" s="727">
        <f>+landbouw!H8</f>
        <v>0</v>
      </c>
      <c r="J22" s="727">
        <f>+landbouw!I8</f>
        <v>0</v>
      </c>
      <c r="K22" s="727">
        <f>+landbouw!J8</f>
        <v>17.423130070708432</v>
      </c>
      <c r="L22" s="727">
        <f>+landbouw!K8</f>
        <v>0</v>
      </c>
      <c r="M22" s="727">
        <f>+landbouw!L8</f>
        <v>0</v>
      </c>
      <c r="N22" s="727">
        <f>+landbouw!M8</f>
        <v>0</v>
      </c>
      <c r="O22" s="727">
        <f>+landbouw!N8</f>
        <v>0</v>
      </c>
      <c r="P22" s="727">
        <f>+landbouw!O8</f>
        <v>0</v>
      </c>
      <c r="Q22" s="728">
        <f>+landbouw!P8</f>
        <v>0</v>
      </c>
      <c r="R22" s="729">
        <f>SUM(C22:Q22)</f>
        <v>5252.047730042912</v>
      </c>
      <c r="S22" s="67"/>
    </row>
    <row r="23" spans="1:19" s="474" customFormat="1" ht="17.25" thickTop="1" thickBot="1">
      <c r="A23" s="734" t="s">
        <v>116</v>
      </c>
      <c r="B23" s="864"/>
      <c r="C23" s="735">
        <f ca="1">C20+C15+C22</f>
        <v>86270.762243514808</v>
      </c>
      <c r="D23" s="735">
        <f t="shared" ref="D23:Q23" ca="1" si="2">D20+D15+D22</f>
        <v>0</v>
      </c>
      <c r="E23" s="735">
        <f t="shared" ca="1" si="2"/>
        <v>224347.34548884499</v>
      </c>
      <c r="F23" s="735">
        <f t="shared" si="2"/>
        <v>3049.511711294309</v>
      </c>
      <c r="G23" s="735">
        <f t="shared" ca="1" si="2"/>
        <v>9136.216787330708</v>
      </c>
      <c r="H23" s="735">
        <f t="shared" si="2"/>
        <v>58505.047589560207</v>
      </c>
      <c r="I23" s="735">
        <f t="shared" si="2"/>
        <v>14239.445084173831</v>
      </c>
      <c r="J23" s="735">
        <f t="shared" si="2"/>
        <v>0</v>
      </c>
      <c r="K23" s="735">
        <f t="shared" si="2"/>
        <v>19.35544241928184</v>
      </c>
      <c r="L23" s="735">
        <f t="shared" si="2"/>
        <v>0</v>
      </c>
      <c r="M23" s="735">
        <f t="shared" ca="1" si="2"/>
        <v>0</v>
      </c>
      <c r="N23" s="735">
        <f t="shared" si="2"/>
        <v>3837.1943964754214</v>
      </c>
      <c r="O23" s="735">
        <f t="shared" ca="1" si="2"/>
        <v>19312.821655268956</v>
      </c>
      <c r="P23" s="735">
        <f t="shared" si="2"/>
        <v>265.76666666666671</v>
      </c>
      <c r="Q23" s="736">
        <f t="shared" si="2"/>
        <v>1124.9333333333334</v>
      </c>
      <c r="R23" s="737">
        <f ca="1">R20+R15+R22</f>
        <v>420108.40039888246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5765.6816277812432</v>
      </c>
      <c r="D36" s="718">
        <f ca="1">tertiair!C20</f>
        <v>0</v>
      </c>
      <c r="E36" s="718">
        <f ca="1">tertiair!D20</f>
        <v>10162.740132316785</v>
      </c>
      <c r="F36" s="718">
        <f>tertiair!E20</f>
        <v>86.483312269140924</v>
      </c>
      <c r="G36" s="718">
        <f ca="1">tertiair!F20</f>
        <v>1270.689006195706</v>
      </c>
      <c r="H36" s="718">
        <f>tertiair!G20</f>
        <v>0</v>
      </c>
      <c r="I36" s="718">
        <f>tertiair!H20</f>
        <v>0</v>
      </c>
      <c r="J36" s="718">
        <f>tertiair!I20</f>
        <v>0</v>
      </c>
      <c r="K36" s="718">
        <f>tertiair!J20</f>
        <v>2.5923212313004294E-2</v>
      </c>
      <c r="L36" s="718">
        <f>tertiair!K20</f>
        <v>0</v>
      </c>
      <c r="M36" s="718">
        <f ca="1">tertiair!L20</f>
        <v>0</v>
      </c>
      <c r="N36" s="718">
        <f>tertiair!M20</f>
        <v>0</v>
      </c>
      <c r="O36" s="718">
        <f ca="1">tertiair!N20</f>
        <v>0</v>
      </c>
      <c r="P36" s="718">
        <f>tertiair!O20</f>
        <v>0</v>
      </c>
      <c r="Q36" s="828">
        <f>tertiair!P20</f>
        <v>0</v>
      </c>
      <c r="R36" s="917">
        <f ca="1">SUM(C36:Q36)</f>
        <v>17285.620001775191</v>
      </c>
    </row>
    <row r="37" spans="1:18">
      <c r="A37" s="885" t="s">
        <v>225</v>
      </c>
      <c r="B37" s="892"/>
      <c r="C37" s="718">
        <f ca="1">huishoudens!B12</f>
        <v>10703.113198914081</v>
      </c>
      <c r="D37" s="718">
        <f ca="1">huishoudens!C12</f>
        <v>0</v>
      </c>
      <c r="E37" s="718">
        <f>huishoudens!D12</f>
        <v>32942.119691335261</v>
      </c>
      <c r="F37" s="718">
        <f>huishoudens!E12</f>
        <v>256.35736660295146</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43901.590256852294</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1358.6019901683917</v>
      </c>
      <c r="D39" s="718">
        <f ca="1">industrie!C22</f>
        <v>0</v>
      </c>
      <c r="E39" s="718">
        <f>industrie!D22</f>
        <v>1256.5638823061474</v>
      </c>
      <c r="F39" s="718">
        <f>industrie!E22</f>
        <v>310.44134078771788</v>
      </c>
      <c r="G39" s="718">
        <f>industrie!F22</f>
        <v>1034.9144704082037</v>
      </c>
      <c r="H39" s="718">
        <f>industrie!G22</f>
        <v>0</v>
      </c>
      <c r="I39" s="718">
        <f>industrie!H22</f>
        <v>0</v>
      </c>
      <c r="J39" s="718">
        <f>industrie!I22</f>
        <v>0</v>
      </c>
      <c r="K39" s="718">
        <f>industrie!J22</f>
        <v>0.65811535908198215</v>
      </c>
      <c r="L39" s="718">
        <f>industrie!K22</f>
        <v>0</v>
      </c>
      <c r="M39" s="718">
        <f>industrie!L22</f>
        <v>0</v>
      </c>
      <c r="N39" s="718">
        <f>industrie!M22</f>
        <v>0</v>
      </c>
      <c r="O39" s="718">
        <f>industrie!N22</f>
        <v>0</v>
      </c>
      <c r="P39" s="718">
        <f>industrie!O22</f>
        <v>0</v>
      </c>
      <c r="Q39" s="828">
        <f>industrie!P22</f>
        <v>0</v>
      </c>
      <c r="R39" s="918">
        <f ca="1">SUM(C39:Q39)</f>
        <v>3961.1797990295427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17827.396816863715</v>
      </c>
      <c r="D41" s="763">
        <f t="shared" ref="D41:R41" ca="1" si="4">SUM(D35:D40)</f>
        <v>0</v>
      </c>
      <c r="E41" s="763">
        <f t="shared" ca="1" si="4"/>
        <v>44361.423705958194</v>
      </c>
      <c r="F41" s="763">
        <f t="shared" si="4"/>
        <v>653.2820196598102</v>
      </c>
      <c r="G41" s="763">
        <f t="shared" ca="1" si="4"/>
        <v>2305.6034766039097</v>
      </c>
      <c r="H41" s="763">
        <f t="shared" si="4"/>
        <v>0</v>
      </c>
      <c r="I41" s="763">
        <f t="shared" si="4"/>
        <v>0</v>
      </c>
      <c r="J41" s="763">
        <f t="shared" si="4"/>
        <v>0</v>
      </c>
      <c r="K41" s="763">
        <f t="shared" si="4"/>
        <v>0.68403857139498647</v>
      </c>
      <c r="L41" s="763">
        <f t="shared" si="4"/>
        <v>0</v>
      </c>
      <c r="M41" s="763">
        <f t="shared" ca="1" si="4"/>
        <v>0</v>
      </c>
      <c r="N41" s="763">
        <f t="shared" si="4"/>
        <v>0</v>
      </c>
      <c r="O41" s="763">
        <f t="shared" ca="1" si="4"/>
        <v>0</v>
      </c>
      <c r="P41" s="763">
        <f t="shared" si="4"/>
        <v>0</v>
      </c>
      <c r="Q41" s="764">
        <f t="shared" si="4"/>
        <v>0</v>
      </c>
      <c r="R41" s="765">
        <f t="shared" ca="1" si="4"/>
        <v>65148.39005765703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589.68229500314885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589.68229500314885</v>
      </c>
    </row>
    <row r="45" spans="1:18" ht="15" thickBot="1">
      <c r="A45" s="888" t="s">
        <v>307</v>
      </c>
      <c r="B45" s="898"/>
      <c r="C45" s="727">
        <f ca="1">transport!B18</f>
        <v>7.3125335660792352</v>
      </c>
      <c r="D45" s="727">
        <f>transport!C18</f>
        <v>0</v>
      </c>
      <c r="E45" s="727">
        <f>transport!D18</f>
        <v>25.554070790094279</v>
      </c>
      <c r="F45" s="727">
        <f>transport!E18</f>
        <v>38.15473544382764</v>
      </c>
      <c r="G45" s="727">
        <f>transport!F18</f>
        <v>0</v>
      </c>
      <c r="H45" s="727">
        <f>transport!G18</f>
        <v>15031.165411409427</v>
      </c>
      <c r="I45" s="727">
        <f>transport!H18</f>
        <v>3545.6218259592838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18647.808577168711</v>
      </c>
    </row>
    <row r="46" spans="1:18" ht="15.75" thickBot="1">
      <c r="A46" s="886" t="s">
        <v>230</v>
      </c>
      <c r="B46" s="899"/>
      <c r="C46" s="763">
        <f t="shared" ref="C46:R46" ca="1" si="5">SUM(C43:C45)</f>
        <v>7.3125335660792352</v>
      </c>
      <c r="D46" s="763">
        <f t="shared" ca="1" si="5"/>
        <v>0</v>
      </c>
      <c r="E46" s="763">
        <f t="shared" si="5"/>
        <v>25.554070790094279</v>
      </c>
      <c r="F46" s="763">
        <f t="shared" si="5"/>
        <v>38.15473544382764</v>
      </c>
      <c r="G46" s="763">
        <f t="shared" si="5"/>
        <v>0</v>
      </c>
      <c r="H46" s="763">
        <f t="shared" si="5"/>
        <v>15620.847706412576</v>
      </c>
      <c r="I46" s="763">
        <f t="shared" si="5"/>
        <v>3545.6218259592838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19237.49087217186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24.896046561438961</v>
      </c>
      <c r="D48" s="718">
        <f ca="1">+landbouw!C12</f>
        <v>0</v>
      </c>
      <c r="E48" s="718">
        <f>+landbouw!D12</f>
        <v>931.18601199840055</v>
      </c>
      <c r="F48" s="718">
        <f>+landbouw!E12</f>
        <v>0.80240336017015601</v>
      </c>
      <c r="G48" s="718">
        <f>+landbouw!F12</f>
        <v>133.76640561338937</v>
      </c>
      <c r="H48" s="718">
        <f>+landbouw!G12</f>
        <v>0</v>
      </c>
      <c r="I48" s="718">
        <f>+landbouw!H12</f>
        <v>0</v>
      </c>
      <c r="J48" s="718">
        <f>+landbouw!I12</f>
        <v>0</v>
      </c>
      <c r="K48" s="718">
        <f>+landbouw!J12</f>
        <v>6.1677880450307843</v>
      </c>
      <c r="L48" s="718">
        <f>+landbouw!K12</f>
        <v>0</v>
      </c>
      <c r="M48" s="718">
        <f>+landbouw!L12</f>
        <v>0</v>
      </c>
      <c r="N48" s="718">
        <f>+landbouw!M12</f>
        <v>0</v>
      </c>
      <c r="O48" s="718">
        <f>+landbouw!N12</f>
        <v>0</v>
      </c>
      <c r="P48" s="718">
        <f>+landbouw!O12</f>
        <v>0</v>
      </c>
      <c r="Q48" s="719">
        <f>+landbouw!P12</f>
        <v>0</v>
      </c>
      <c r="R48" s="761">
        <f ca="1">SUM(C48:Q48)</f>
        <v>1096.81865557843</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17859.605396991235</v>
      </c>
      <c r="D53" s="773">
        <f t="shared" ref="D53:Q53" ca="1" si="6">D41+D46+D48</f>
        <v>0</v>
      </c>
      <c r="E53" s="773">
        <f t="shared" ca="1" si="6"/>
        <v>45318.163788746686</v>
      </c>
      <c r="F53" s="773">
        <f t="shared" si="6"/>
        <v>692.23915846380805</v>
      </c>
      <c r="G53" s="773">
        <f t="shared" ca="1" si="6"/>
        <v>2439.3698822172992</v>
      </c>
      <c r="H53" s="773">
        <f t="shared" si="6"/>
        <v>15620.847706412576</v>
      </c>
      <c r="I53" s="773">
        <f t="shared" si="6"/>
        <v>3545.6218259592838</v>
      </c>
      <c r="J53" s="773">
        <f t="shared" si="6"/>
        <v>0</v>
      </c>
      <c r="K53" s="773">
        <f t="shared" si="6"/>
        <v>6.8518266164257708</v>
      </c>
      <c r="L53" s="773">
        <f t="shared" si="6"/>
        <v>0</v>
      </c>
      <c r="M53" s="773">
        <f t="shared" ca="1" si="6"/>
        <v>0</v>
      </c>
      <c r="N53" s="773">
        <f t="shared" si="6"/>
        <v>0</v>
      </c>
      <c r="O53" s="773">
        <f t="shared" ca="1" si="6"/>
        <v>0</v>
      </c>
      <c r="P53" s="773">
        <f>P41+P46+P48</f>
        <v>0</v>
      </c>
      <c r="Q53" s="774">
        <f t="shared" si="6"/>
        <v>0</v>
      </c>
      <c r="R53" s="775">
        <f ca="1">R41+R46+R48</f>
        <v>85482.699585407317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0.2070180549301196</v>
      </c>
      <c r="D55" s="836">
        <f t="shared" ca="1" si="7"/>
        <v>0</v>
      </c>
      <c r="E55" s="836">
        <f t="shared" ca="1" si="7"/>
        <v>0.20199999999999999</v>
      </c>
      <c r="F55" s="836">
        <f t="shared" si="7"/>
        <v>0.22699999999999998</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5458.0681394820822</v>
      </c>
      <c r="C66" s="795">
        <f>'lokale energieproductie'!B6</f>
        <v>5458.0681394820822</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5458.0681394820822</v>
      </c>
      <c r="C69" s="803">
        <f>SUM(C64:C68)</f>
        <v>5458.0681394820822</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51701.351375014106</v>
      </c>
      <c r="C4" s="478">
        <f>huishoudens!C8</f>
        <v>0</v>
      </c>
      <c r="D4" s="478">
        <f>huishoudens!D8</f>
        <v>163079.80045215474</v>
      </c>
      <c r="E4" s="478">
        <f>huishoudens!E8</f>
        <v>1129.3276061804029</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14506.590119218487</v>
      </c>
      <c r="O4" s="478">
        <f>huishoudens!O8</f>
        <v>262.64000000000004</v>
      </c>
      <c r="P4" s="479">
        <f>huishoudens!P8</f>
        <v>1048.6666666666667</v>
      </c>
      <c r="Q4" s="480">
        <f>SUM(B4:P4)</f>
        <v>231728.3762192344</v>
      </c>
    </row>
    <row r="5" spans="1:17">
      <c r="A5" s="477" t="s">
        <v>156</v>
      </c>
      <c r="B5" s="478">
        <f ca="1">tertiair!B16</f>
        <v>26803.624207840403</v>
      </c>
      <c r="C5" s="478">
        <f ca="1">tertiair!C16</f>
        <v>0</v>
      </c>
      <c r="D5" s="478">
        <f ca="1">tertiair!D16</f>
        <v>50310.594714439525</v>
      </c>
      <c r="E5" s="478">
        <f>tertiair!E16</f>
        <v>380.98375448960758</v>
      </c>
      <c r="F5" s="478">
        <f ca="1">tertiair!F16</f>
        <v>4759.1348546655654</v>
      </c>
      <c r="G5" s="478">
        <f>tertiair!G16</f>
        <v>0</v>
      </c>
      <c r="H5" s="478">
        <f>tertiair!H16</f>
        <v>0</v>
      </c>
      <c r="I5" s="478">
        <f>tertiair!I16</f>
        <v>0</v>
      </c>
      <c r="J5" s="478">
        <f>tertiair!J16</f>
        <v>7.3229413313571454E-2</v>
      </c>
      <c r="K5" s="478">
        <f>tertiair!K16</f>
        <v>0</v>
      </c>
      <c r="L5" s="478">
        <f ca="1">tertiair!L16</f>
        <v>0</v>
      </c>
      <c r="M5" s="478">
        <f>tertiair!M16</f>
        <v>0</v>
      </c>
      <c r="N5" s="478">
        <f ca="1">tertiair!N16</f>
        <v>2912.6904299817475</v>
      </c>
      <c r="O5" s="478">
        <f>tertiair!O16</f>
        <v>3.1266666666666669</v>
      </c>
      <c r="P5" s="479">
        <f>tertiair!P16</f>
        <v>76.266666666666666</v>
      </c>
      <c r="Q5" s="477">
        <f t="shared" ref="Q5:Q13" ca="1" si="0">SUM(B5:P5)</f>
        <v>85246.4945241635</v>
      </c>
    </row>
    <row r="6" spans="1:17">
      <c r="A6" s="477" t="s">
        <v>194</v>
      </c>
      <c r="B6" s="478">
        <f>'openbare verlichting'!B8</f>
        <v>1047.481</v>
      </c>
      <c r="C6" s="478"/>
      <c r="D6" s="478"/>
      <c r="E6" s="478"/>
      <c r="F6" s="478"/>
      <c r="G6" s="478"/>
      <c r="H6" s="478"/>
      <c r="I6" s="478"/>
      <c r="J6" s="478"/>
      <c r="K6" s="478"/>
      <c r="L6" s="478"/>
      <c r="M6" s="478"/>
      <c r="N6" s="478"/>
      <c r="O6" s="478"/>
      <c r="P6" s="479"/>
      <c r="Q6" s="477">
        <f t="shared" si="0"/>
        <v>1047.481</v>
      </c>
    </row>
    <row r="7" spans="1:17">
      <c r="A7" s="477" t="s">
        <v>112</v>
      </c>
      <c r="B7" s="478">
        <f>landbouw!B8</f>
        <v>120.26026700831869</v>
      </c>
      <c r="C7" s="478">
        <f>landbouw!C8</f>
        <v>0</v>
      </c>
      <c r="D7" s="478">
        <f>landbouw!D8</f>
        <v>4609.831742566339</v>
      </c>
      <c r="E7" s="478">
        <f>landbouw!E8</f>
        <v>3.5348165646262379</v>
      </c>
      <c r="F7" s="478">
        <f>landbouw!F8</f>
        <v>500.99777383291899</v>
      </c>
      <c r="G7" s="478">
        <f>landbouw!G8</f>
        <v>0</v>
      </c>
      <c r="H7" s="478">
        <f>landbouw!H8</f>
        <v>0</v>
      </c>
      <c r="I7" s="478">
        <f>landbouw!I8</f>
        <v>0</v>
      </c>
      <c r="J7" s="478">
        <f>landbouw!J8</f>
        <v>17.423130070708432</v>
      </c>
      <c r="K7" s="478">
        <f>landbouw!K8</f>
        <v>0</v>
      </c>
      <c r="L7" s="478">
        <f>landbouw!L8</f>
        <v>0</v>
      </c>
      <c r="M7" s="478">
        <f>landbouw!M8</f>
        <v>0</v>
      </c>
      <c r="N7" s="478">
        <f>landbouw!N8</f>
        <v>0</v>
      </c>
      <c r="O7" s="478">
        <f>landbouw!O8</f>
        <v>0</v>
      </c>
      <c r="P7" s="479">
        <f>landbouw!P8</f>
        <v>0</v>
      </c>
      <c r="Q7" s="477">
        <f t="shared" si="0"/>
        <v>5252.047730042912</v>
      </c>
    </row>
    <row r="8" spans="1:17">
      <c r="A8" s="477" t="s">
        <v>635</v>
      </c>
      <c r="B8" s="478">
        <f>industrie!B18</f>
        <v>6562.7222254937988</v>
      </c>
      <c r="C8" s="478">
        <f>industrie!C18</f>
        <v>0</v>
      </c>
      <c r="D8" s="478">
        <f>industrie!D18</f>
        <v>6220.6132787433035</v>
      </c>
      <c r="E8" s="478">
        <f>industrie!E18</f>
        <v>1367.5829990648365</v>
      </c>
      <c r="F8" s="478">
        <f>industrie!F18</f>
        <v>3876.0841588322232</v>
      </c>
      <c r="G8" s="478">
        <f>industrie!G18</f>
        <v>0</v>
      </c>
      <c r="H8" s="478">
        <f>industrie!H18</f>
        <v>0</v>
      </c>
      <c r="I8" s="478">
        <f>industrie!I18</f>
        <v>0</v>
      </c>
      <c r="J8" s="478">
        <f>industrie!J18</f>
        <v>1.8590829352598368</v>
      </c>
      <c r="K8" s="478">
        <f>industrie!K18</f>
        <v>0</v>
      </c>
      <c r="L8" s="478">
        <f>industrie!L18</f>
        <v>0</v>
      </c>
      <c r="M8" s="478">
        <f>industrie!M18</f>
        <v>0</v>
      </c>
      <c r="N8" s="478">
        <f>industrie!N18</f>
        <v>1893.5411060687215</v>
      </c>
      <c r="O8" s="478">
        <f>industrie!O18</f>
        <v>0</v>
      </c>
      <c r="P8" s="479">
        <f>industrie!P18</f>
        <v>0</v>
      </c>
      <c r="Q8" s="477">
        <f t="shared" si="0"/>
        <v>19922.402851138144</v>
      </c>
    </row>
    <row r="9" spans="1:17" s="483" customFormat="1">
      <c r="A9" s="481" t="s">
        <v>561</v>
      </c>
      <c r="B9" s="482">
        <f>transport!B14</f>
        <v>35.323168158195834</v>
      </c>
      <c r="C9" s="482">
        <f>transport!C14</f>
        <v>0</v>
      </c>
      <c r="D9" s="482">
        <f>transport!D14</f>
        <v>126.50530094106078</v>
      </c>
      <c r="E9" s="482">
        <f>transport!E14</f>
        <v>168.08253499483541</v>
      </c>
      <c r="F9" s="482">
        <f>transport!F14</f>
        <v>0</v>
      </c>
      <c r="G9" s="482">
        <f>transport!G14</f>
        <v>56296.4996682001</v>
      </c>
      <c r="H9" s="482">
        <f>transport!H14</f>
        <v>14239.445084173831</v>
      </c>
      <c r="I9" s="482">
        <f>transport!I14</f>
        <v>0</v>
      </c>
      <c r="J9" s="482">
        <f>transport!J14</f>
        <v>0</v>
      </c>
      <c r="K9" s="482">
        <f>transport!K14</f>
        <v>0</v>
      </c>
      <c r="L9" s="482">
        <f>transport!L14</f>
        <v>0</v>
      </c>
      <c r="M9" s="482">
        <f>transport!M14</f>
        <v>3711.7586243456649</v>
      </c>
      <c r="N9" s="482">
        <f>transport!N14</f>
        <v>0</v>
      </c>
      <c r="O9" s="482">
        <f>transport!O14</f>
        <v>0</v>
      </c>
      <c r="P9" s="482">
        <f>transport!P14</f>
        <v>0</v>
      </c>
      <c r="Q9" s="481">
        <f>SUM(B9:P9)</f>
        <v>74577.614380813684</v>
      </c>
    </row>
    <row r="10" spans="1:17">
      <c r="A10" s="477" t="s">
        <v>551</v>
      </c>
      <c r="B10" s="478">
        <f>transport!B54</f>
        <v>0</v>
      </c>
      <c r="C10" s="478">
        <f>transport!C54</f>
        <v>0</v>
      </c>
      <c r="D10" s="478">
        <f>transport!D54</f>
        <v>0</v>
      </c>
      <c r="E10" s="478">
        <f>transport!E54</f>
        <v>0</v>
      </c>
      <c r="F10" s="478">
        <f>transport!F54</f>
        <v>0</v>
      </c>
      <c r="G10" s="478">
        <f>transport!G54</f>
        <v>2208.5479213601079</v>
      </c>
      <c r="H10" s="478">
        <f>transport!H54</f>
        <v>0</v>
      </c>
      <c r="I10" s="478">
        <f>transport!I54</f>
        <v>0</v>
      </c>
      <c r="J10" s="478">
        <f>transport!J54</f>
        <v>0</v>
      </c>
      <c r="K10" s="478">
        <f>transport!K54</f>
        <v>0</v>
      </c>
      <c r="L10" s="478">
        <f>transport!L54</f>
        <v>0</v>
      </c>
      <c r="M10" s="478">
        <f>transport!M54</f>
        <v>125.4357721297563</v>
      </c>
      <c r="N10" s="478">
        <f>transport!N54</f>
        <v>0</v>
      </c>
      <c r="O10" s="478">
        <f>transport!O54</f>
        <v>0</v>
      </c>
      <c r="P10" s="479">
        <f>transport!P54</f>
        <v>0</v>
      </c>
      <c r="Q10" s="477">
        <f t="shared" si="0"/>
        <v>2333.9836934898644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86270.762243514808</v>
      </c>
      <c r="C14" s="488">
        <f t="shared" ref="C14:Q14" ca="1" si="1">SUM(C4:C13)</f>
        <v>0</v>
      </c>
      <c r="D14" s="488">
        <f t="shared" ca="1" si="1"/>
        <v>224347.34548884499</v>
      </c>
      <c r="E14" s="488">
        <f t="shared" si="1"/>
        <v>3049.5117112943085</v>
      </c>
      <c r="F14" s="488">
        <f t="shared" ca="1" si="1"/>
        <v>9136.216787330708</v>
      </c>
      <c r="G14" s="488">
        <f t="shared" si="1"/>
        <v>58505.047589560207</v>
      </c>
      <c r="H14" s="488">
        <f t="shared" si="1"/>
        <v>14239.445084173831</v>
      </c>
      <c r="I14" s="488">
        <f t="shared" si="1"/>
        <v>0</v>
      </c>
      <c r="J14" s="488">
        <f t="shared" si="1"/>
        <v>19.355442419281843</v>
      </c>
      <c r="K14" s="488">
        <f t="shared" si="1"/>
        <v>0</v>
      </c>
      <c r="L14" s="488">
        <f t="shared" ca="1" si="1"/>
        <v>0</v>
      </c>
      <c r="M14" s="488">
        <f t="shared" si="1"/>
        <v>3837.1943964754214</v>
      </c>
      <c r="N14" s="488">
        <f t="shared" ca="1" si="1"/>
        <v>19312.821655268956</v>
      </c>
      <c r="O14" s="488">
        <f t="shared" si="1"/>
        <v>265.76666666666671</v>
      </c>
      <c r="P14" s="489">
        <f t="shared" si="1"/>
        <v>1124.9333333333334</v>
      </c>
      <c r="Q14" s="489">
        <f t="shared" ca="1" si="1"/>
        <v>420108.40039888251</v>
      </c>
    </row>
    <row r="16" spans="1:17">
      <c r="A16" s="491" t="s">
        <v>556</v>
      </c>
      <c r="B16" s="841">
        <f ca="1">huishoudens!B10</f>
        <v>0.20701805493011954</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10703.113198914081</v>
      </c>
      <c r="C21" s="478">
        <f t="shared" ref="C21:C30" ca="1" si="3">C4*$C$16</f>
        <v>0</v>
      </c>
      <c r="D21" s="478">
        <f t="shared" ref="D21:D30" si="4">D4*$D$16</f>
        <v>32942.119691335261</v>
      </c>
      <c r="E21" s="478">
        <f t="shared" ref="E21:E30" si="5">E4*$E$16</f>
        <v>256.35736660295146</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43901.590256852294</v>
      </c>
    </row>
    <row r="22" spans="1:17">
      <c r="A22" s="477" t="s">
        <v>156</v>
      </c>
      <c r="B22" s="478">
        <f t="shared" ca="1" si="2"/>
        <v>5548.8341485849869</v>
      </c>
      <c r="C22" s="478">
        <f t="shared" ca="1" si="3"/>
        <v>0</v>
      </c>
      <c r="D22" s="478">
        <f t="shared" ca="1" si="4"/>
        <v>10162.740132316785</v>
      </c>
      <c r="E22" s="478">
        <f t="shared" si="5"/>
        <v>86.483312269140924</v>
      </c>
      <c r="F22" s="478">
        <f t="shared" ca="1" si="6"/>
        <v>1270.689006195706</v>
      </c>
      <c r="G22" s="478">
        <f t="shared" si="7"/>
        <v>0</v>
      </c>
      <c r="H22" s="478">
        <f t="shared" si="8"/>
        <v>0</v>
      </c>
      <c r="I22" s="478">
        <f t="shared" si="9"/>
        <v>0</v>
      </c>
      <c r="J22" s="478">
        <f t="shared" si="10"/>
        <v>2.5923212313004294E-2</v>
      </c>
      <c r="K22" s="478">
        <f t="shared" si="11"/>
        <v>0</v>
      </c>
      <c r="L22" s="478">
        <f t="shared" ca="1" si="12"/>
        <v>0</v>
      </c>
      <c r="M22" s="478">
        <f t="shared" si="13"/>
        <v>0</v>
      </c>
      <c r="N22" s="478">
        <f t="shared" ca="1" si="14"/>
        <v>0</v>
      </c>
      <c r="O22" s="478">
        <f t="shared" si="15"/>
        <v>0</v>
      </c>
      <c r="P22" s="479">
        <f t="shared" si="16"/>
        <v>0</v>
      </c>
      <c r="Q22" s="477">
        <f t="shared" ref="Q22:Q30" ca="1" si="17">SUM(B22:P22)</f>
        <v>17068.772522578933</v>
      </c>
    </row>
    <row r="23" spans="1:17">
      <c r="A23" s="477" t="s">
        <v>194</v>
      </c>
      <c r="B23" s="478">
        <f t="shared" ca="1" si="2"/>
        <v>216.84747919625656</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216.84747919625656</v>
      </c>
    </row>
    <row r="24" spans="1:17">
      <c r="A24" s="477" t="s">
        <v>112</v>
      </c>
      <c r="B24" s="478">
        <f t="shared" ca="1" si="2"/>
        <v>24.896046561438961</v>
      </c>
      <c r="C24" s="478">
        <f t="shared" ca="1" si="3"/>
        <v>0</v>
      </c>
      <c r="D24" s="478">
        <f t="shared" si="4"/>
        <v>931.18601199840055</v>
      </c>
      <c r="E24" s="478">
        <f t="shared" si="5"/>
        <v>0.80240336017015601</v>
      </c>
      <c r="F24" s="478">
        <f t="shared" si="6"/>
        <v>133.76640561338937</v>
      </c>
      <c r="G24" s="478">
        <f t="shared" si="7"/>
        <v>0</v>
      </c>
      <c r="H24" s="478">
        <f t="shared" si="8"/>
        <v>0</v>
      </c>
      <c r="I24" s="478">
        <f t="shared" si="9"/>
        <v>0</v>
      </c>
      <c r="J24" s="478">
        <f t="shared" si="10"/>
        <v>6.1677880450307843</v>
      </c>
      <c r="K24" s="478">
        <f t="shared" si="11"/>
        <v>0</v>
      </c>
      <c r="L24" s="478">
        <f t="shared" si="12"/>
        <v>0</v>
      </c>
      <c r="M24" s="478">
        <f t="shared" si="13"/>
        <v>0</v>
      </c>
      <c r="N24" s="478">
        <f t="shared" si="14"/>
        <v>0</v>
      </c>
      <c r="O24" s="478">
        <f t="shared" si="15"/>
        <v>0</v>
      </c>
      <c r="P24" s="479">
        <f t="shared" si="16"/>
        <v>0</v>
      </c>
      <c r="Q24" s="477">
        <f t="shared" ca="1" si="17"/>
        <v>1096.81865557843</v>
      </c>
    </row>
    <row r="25" spans="1:17">
      <c r="A25" s="477" t="s">
        <v>635</v>
      </c>
      <c r="B25" s="478">
        <f t="shared" ca="1" si="2"/>
        <v>1358.6019901683917</v>
      </c>
      <c r="C25" s="478">
        <f t="shared" ca="1" si="3"/>
        <v>0</v>
      </c>
      <c r="D25" s="478">
        <f t="shared" si="4"/>
        <v>1256.5638823061474</v>
      </c>
      <c r="E25" s="478">
        <f t="shared" si="5"/>
        <v>310.44134078771788</v>
      </c>
      <c r="F25" s="478">
        <f t="shared" si="6"/>
        <v>1034.9144704082037</v>
      </c>
      <c r="G25" s="478">
        <f t="shared" si="7"/>
        <v>0</v>
      </c>
      <c r="H25" s="478">
        <f t="shared" si="8"/>
        <v>0</v>
      </c>
      <c r="I25" s="478">
        <f t="shared" si="9"/>
        <v>0</v>
      </c>
      <c r="J25" s="478">
        <f t="shared" si="10"/>
        <v>0.65811535908198215</v>
      </c>
      <c r="K25" s="478">
        <f t="shared" si="11"/>
        <v>0</v>
      </c>
      <c r="L25" s="478">
        <f t="shared" si="12"/>
        <v>0</v>
      </c>
      <c r="M25" s="478">
        <f t="shared" si="13"/>
        <v>0</v>
      </c>
      <c r="N25" s="478">
        <f t="shared" si="14"/>
        <v>0</v>
      </c>
      <c r="O25" s="478">
        <f t="shared" si="15"/>
        <v>0</v>
      </c>
      <c r="P25" s="479">
        <f t="shared" si="16"/>
        <v>0</v>
      </c>
      <c r="Q25" s="477">
        <f t="shared" ca="1" si="17"/>
        <v>3961.1797990295427</v>
      </c>
    </row>
    <row r="26" spans="1:17" s="483" customFormat="1">
      <c r="A26" s="481" t="s">
        <v>561</v>
      </c>
      <c r="B26" s="835">
        <f t="shared" ca="1" si="2"/>
        <v>7.3125335660792352</v>
      </c>
      <c r="C26" s="482">
        <f t="shared" ca="1" si="3"/>
        <v>0</v>
      </c>
      <c r="D26" s="482">
        <f t="shared" si="4"/>
        <v>25.554070790094279</v>
      </c>
      <c r="E26" s="482">
        <f t="shared" si="5"/>
        <v>38.15473544382764</v>
      </c>
      <c r="F26" s="482">
        <f t="shared" si="6"/>
        <v>0</v>
      </c>
      <c r="G26" s="482">
        <f t="shared" si="7"/>
        <v>15031.165411409427</v>
      </c>
      <c r="H26" s="482">
        <f t="shared" si="8"/>
        <v>3545.6218259592838</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18647.808577168711</v>
      </c>
    </row>
    <row r="27" spans="1:17">
      <c r="A27" s="477" t="s">
        <v>551</v>
      </c>
      <c r="B27" s="478">
        <f t="shared" ca="1" si="2"/>
        <v>0</v>
      </c>
      <c r="C27" s="478">
        <f t="shared" ca="1" si="3"/>
        <v>0</v>
      </c>
      <c r="D27" s="478">
        <f t="shared" si="4"/>
        <v>0</v>
      </c>
      <c r="E27" s="478">
        <f t="shared" si="5"/>
        <v>0</v>
      </c>
      <c r="F27" s="478">
        <f t="shared" si="6"/>
        <v>0</v>
      </c>
      <c r="G27" s="478">
        <f t="shared" si="7"/>
        <v>589.68229500314885</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589.68229500314885</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17859.605396991235</v>
      </c>
      <c r="C31" s="488">
        <f t="shared" ca="1" si="18"/>
        <v>0</v>
      </c>
      <c r="D31" s="488">
        <f t="shared" ca="1" si="18"/>
        <v>45318.163788746686</v>
      </c>
      <c r="E31" s="488">
        <f t="shared" si="18"/>
        <v>692.23915846380817</v>
      </c>
      <c r="F31" s="488">
        <f t="shared" ca="1" si="18"/>
        <v>2439.3698822172992</v>
      </c>
      <c r="G31" s="488">
        <f t="shared" si="18"/>
        <v>15620.847706412576</v>
      </c>
      <c r="H31" s="488">
        <f t="shared" si="18"/>
        <v>3545.6218259592838</v>
      </c>
      <c r="I31" s="488">
        <f t="shared" si="18"/>
        <v>0</v>
      </c>
      <c r="J31" s="488">
        <f t="shared" si="18"/>
        <v>6.8518266164257708</v>
      </c>
      <c r="K31" s="488">
        <f t="shared" si="18"/>
        <v>0</v>
      </c>
      <c r="L31" s="488">
        <f t="shared" ca="1" si="18"/>
        <v>0</v>
      </c>
      <c r="M31" s="488">
        <f t="shared" si="18"/>
        <v>0</v>
      </c>
      <c r="N31" s="488">
        <f t="shared" ca="1" si="18"/>
        <v>0</v>
      </c>
      <c r="O31" s="488">
        <f t="shared" si="18"/>
        <v>0</v>
      </c>
      <c r="P31" s="489">
        <f t="shared" si="18"/>
        <v>0</v>
      </c>
      <c r="Q31" s="489">
        <f t="shared" ca="1" si="18"/>
        <v>85482.699585407303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0.20701805493011954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0.20701805493011954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0.20701805493011954</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11023</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11038</v>
      </c>
      <c r="C9" s="342">
        <v>11293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464.7</v>
      </c>
    </row>
    <row r="15" spans="1:6">
      <c r="A15" s="348" t="s">
        <v>184</v>
      </c>
      <c r="B15" s="334">
        <v>2</v>
      </c>
    </row>
    <row r="16" spans="1:6">
      <c r="A16" s="348" t="s">
        <v>6</v>
      </c>
      <c r="B16" s="334">
        <v>123</v>
      </c>
    </row>
    <row r="17" spans="1:6">
      <c r="A17" s="348" t="s">
        <v>7</v>
      </c>
      <c r="B17" s="334">
        <v>110</v>
      </c>
    </row>
    <row r="18" spans="1:6">
      <c r="A18" s="348" t="s">
        <v>8</v>
      </c>
      <c r="B18" s="334">
        <v>187</v>
      </c>
    </row>
    <row r="19" spans="1:6">
      <c r="A19" s="348" t="s">
        <v>9</v>
      </c>
      <c r="B19" s="334">
        <v>151</v>
      </c>
    </row>
    <row r="20" spans="1:6">
      <c r="A20" s="348" t="s">
        <v>10</v>
      </c>
      <c r="B20" s="334">
        <v>91</v>
      </c>
    </row>
    <row r="21" spans="1:6">
      <c r="A21" s="348" t="s">
        <v>11</v>
      </c>
      <c r="B21" s="334">
        <v>0</v>
      </c>
    </row>
    <row r="22" spans="1:6">
      <c r="A22" s="348" t="s">
        <v>12</v>
      </c>
      <c r="B22" s="334">
        <v>1</v>
      </c>
    </row>
    <row r="23" spans="1:6">
      <c r="A23" s="348" t="s">
        <v>13</v>
      </c>
      <c r="B23" s="334">
        <v>1</v>
      </c>
    </row>
    <row r="24" spans="1:6">
      <c r="A24" s="348" t="s">
        <v>14</v>
      </c>
      <c r="B24" s="334">
        <v>0</v>
      </c>
    </row>
    <row r="25" spans="1:6">
      <c r="A25" s="348" t="s">
        <v>15</v>
      </c>
      <c r="B25" s="334">
        <v>0</v>
      </c>
    </row>
    <row r="26" spans="1:6">
      <c r="A26" s="348" t="s">
        <v>16</v>
      </c>
      <c r="B26" s="334">
        <v>16</v>
      </c>
    </row>
    <row r="27" spans="1:6">
      <c r="A27" s="348" t="s">
        <v>17</v>
      </c>
      <c r="B27" s="334">
        <v>3</v>
      </c>
    </row>
    <row r="28" spans="1:6" s="356" customFormat="1">
      <c r="A28" s="355" t="s">
        <v>18</v>
      </c>
      <c r="B28" s="355">
        <v>30</v>
      </c>
    </row>
    <row r="29" spans="1:6">
      <c r="A29" s="355" t="s">
        <v>744</v>
      </c>
      <c r="B29" s="355">
        <v>150</v>
      </c>
      <c r="C29" s="356"/>
      <c r="D29" s="356"/>
      <c r="E29" s="356"/>
      <c r="F29" s="356"/>
    </row>
    <row r="30" spans="1:6">
      <c r="A30" s="341" t="s">
        <v>745</v>
      </c>
      <c r="B30" s="341">
        <v>47</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53991.028450619197</v>
      </c>
      <c r="E38" s="334">
        <v>0</v>
      </c>
      <c r="F38" s="334">
        <v>0</v>
      </c>
    </row>
    <row r="39" spans="1:6">
      <c r="A39" s="348" t="s">
        <v>30</v>
      </c>
      <c r="B39" s="348" t="s">
        <v>31</v>
      </c>
      <c r="C39" s="334">
        <v>8749</v>
      </c>
      <c r="D39" s="334">
        <v>180798004.93586999</v>
      </c>
      <c r="E39" s="334">
        <v>11033</v>
      </c>
      <c r="F39" s="334">
        <v>48002662.248178802</v>
      </c>
    </row>
    <row r="40" spans="1:6">
      <c r="A40" s="348" t="s">
        <v>30</v>
      </c>
      <c r="B40" s="348" t="s">
        <v>29</v>
      </c>
      <c r="C40" s="334">
        <v>0</v>
      </c>
      <c r="D40" s="334">
        <v>0</v>
      </c>
      <c r="E40" s="334">
        <v>0</v>
      </c>
      <c r="F40" s="334">
        <v>0</v>
      </c>
    </row>
    <row r="41" spans="1:6">
      <c r="A41" s="348" t="s">
        <v>32</v>
      </c>
      <c r="B41" s="348" t="s">
        <v>33</v>
      </c>
      <c r="C41" s="334">
        <v>118</v>
      </c>
      <c r="D41" s="334">
        <v>4367728.3140410399</v>
      </c>
      <c r="E41" s="334">
        <v>183</v>
      </c>
      <c r="F41" s="334">
        <v>4562519.42572816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34582.267751126397</v>
      </c>
      <c r="E44" s="334">
        <v>14</v>
      </c>
      <c r="F44" s="334">
        <v>308436</v>
      </c>
    </row>
    <row r="45" spans="1:6">
      <c r="A45" s="348" t="s">
        <v>32</v>
      </c>
      <c r="B45" s="348" t="s">
        <v>37</v>
      </c>
      <c r="C45" s="334">
        <v>3</v>
      </c>
      <c r="D45" s="334">
        <v>97740.106408112697</v>
      </c>
      <c r="E45" s="334">
        <v>3</v>
      </c>
      <c r="F45" s="334">
        <v>28923</v>
      </c>
    </row>
    <row r="46" spans="1:6">
      <c r="A46" s="348" t="s">
        <v>32</v>
      </c>
      <c r="B46" s="348" t="s">
        <v>38</v>
      </c>
      <c r="C46" s="334">
        <v>0</v>
      </c>
      <c r="D46" s="334">
        <v>0</v>
      </c>
      <c r="E46" s="334">
        <v>0</v>
      </c>
      <c r="F46" s="334">
        <v>0</v>
      </c>
    </row>
    <row r="47" spans="1:6">
      <c r="A47" s="348" t="s">
        <v>32</v>
      </c>
      <c r="B47" s="348" t="s">
        <v>39</v>
      </c>
      <c r="C47" s="334">
        <v>4</v>
      </c>
      <c r="D47" s="334">
        <v>134922.26773642001</v>
      </c>
      <c r="E47" s="334">
        <v>6</v>
      </c>
      <c r="F47" s="334">
        <v>64266.348703256299</v>
      </c>
    </row>
    <row r="48" spans="1:6">
      <c r="A48" s="348" t="s">
        <v>32</v>
      </c>
      <c r="B48" s="348" t="s">
        <v>29</v>
      </c>
      <c r="C48" s="334">
        <v>28</v>
      </c>
      <c r="D48" s="334">
        <v>1437660.68329969</v>
      </c>
      <c r="E48" s="334">
        <v>23</v>
      </c>
      <c r="F48" s="334">
        <v>503246.90106238303</v>
      </c>
    </row>
    <row r="49" spans="1:6">
      <c r="A49" s="348" t="s">
        <v>32</v>
      </c>
      <c r="B49" s="348" t="s">
        <v>40</v>
      </c>
      <c r="C49" s="334">
        <v>0</v>
      </c>
      <c r="D49" s="334">
        <v>0</v>
      </c>
      <c r="E49" s="334">
        <v>0</v>
      </c>
      <c r="F49" s="334">
        <v>0</v>
      </c>
    </row>
    <row r="50" spans="1:6">
      <c r="A50" s="348" t="s">
        <v>32</v>
      </c>
      <c r="B50" s="348" t="s">
        <v>41</v>
      </c>
      <c r="C50" s="334">
        <v>11</v>
      </c>
      <c r="D50" s="334">
        <v>823833.41036815895</v>
      </c>
      <c r="E50" s="334">
        <v>21</v>
      </c>
      <c r="F50" s="334">
        <v>1095330.55</v>
      </c>
    </row>
    <row r="51" spans="1:6">
      <c r="A51" s="348" t="s">
        <v>42</v>
      </c>
      <c r="B51" s="348" t="s">
        <v>43</v>
      </c>
      <c r="C51" s="334">
        <v>4</v>
      </c>
      <c r="D51" s="334">
        <v>100889.48467074501</v>
      </c>
      <c r="E51" s="334">
        <v>11</v>
      </c>
      <c r="F51" s="334">
        <v>75918</v>
      </c>
    </row>
    <row r="52" spans="1:6">
      <c r="A52" s="348" t="s">
        <v>42</v>
      </c>
      <c r="B52" s="348" t="s">
        <v>29</v>
      </c>
      <c r="C52" s="334">
        <v>7</v>
      </c>
      <c r="D52" s="334">
        <v>187840.88993586201</v>
      </c>
      <c r="E52" s="334">
        <v>6</v>
      </c>
      <c r="F52" s="334">
        <v>44342.267008318697</v>
      </c>
    </row>
    <row r="53" spans="1:6">
      <c r="A53" s="348" t="s">
        <v>44</v>
      </c>
      <c r="B53" s="348" t="s">
        <v>45</v>
      </c>
      <c r="C53" s="334">
        <v>194</v>
      </c>
      <c r="D53" s="334">
        <v>4821947.8322296897</v>
      </c>
      <c r="E53" s="334">
        <v>98</v>
      </c>
      <c r="F53" s="334">
        <v>484999.492110255</v>
      </c>
    </row>
    <row r="54" spans="1:6">
      <c r="A54" s="348" t="s">
        <v>46</v>
      </c>
      <c r="B54" s="348" t="s">
        <v>47</v>
      </c>
      <c r="C54" s="334">
        <v>0</v>
      </c>
      <c r="D54" s="334">
        <v>0</v>
      </c>
      <c r="E54" s="334">
        <v>2</v>
      </c>
      <c r="F54" s="334">
        <v>1047481</v>
      </c>
    </row>
    <row r="55" spans="1:6">
      <c r="A55" s="348" t="s">
        <v>46</v>
      </c>
      <c r="B55" s="348" t="s">
        <v>29</v>
      </c>
      <c r="C55" s="334">
        <v>0</v>
      </c>
      <c r="D55" s="334">
        <v>0</v>
      </c>
      <c r="E55" s="334">
        <v>0</v>
      </c>
      <c r="F55" s="334">
        <v>0</v>
      </c>
    </row>
    <row r="56" spans="1:6">
      <c r="A56" s="348" t="s">
        <v>48</v>
      </c>
      <c r="B56" s="348" t="s">
        <v>29</v>
      </c>
      <c r="C56" s="334">
        <v>0</v>
      </c>
      <c r="D56" s="334">
        <v>0</v>
      </c>
      <c r="E56" s="334">
        <v>5</v>
      </c>
      <c r="F56" s="334">
        <v>65515</v>
      </c>
    </row>
    <row r="57" spans="1:6">
      <c r="A57" s="348" t="s">
        <v>49</v>
      </c>
      <c r="B57" s="348" t="s">
        <v>50</v>
      </c>
      <c r="C57" s="334">
        <v>77</v>
      </c>
      <c r="D57" s="334">
        <v>4707149.9800486099</v>
      </c>
      <c r="E57" s="334">
        <v>210</v>
      </c>
      <c r="F57" s="334">
        <v>3146614.0014107851</v>
      </c>
    </row>
    <row r="58" spans="1:6">
      <c r="A58" s="348" t="s">
        <v>49</v>
      </c>
      <c r="B58" s="348" t="s">
        <v>51</v>
      </c>
      <c r="C58" s="334">
        <v>59</v>
      </c>
      <c r="D58" s="334">
        <v>9453834.1146637108</v>
      </c>
      <c r="E58" s="334">
        <v>56</v>
      </c>
      <c r="F58" s="334">
        <v>1323940.1541681848</v>
      </c>
    </row>
    <row r="59" spans="1:6">
      <c r="A59" s="348" t="s">
        <v>49</v>
      </c>
      <c r="B59" s="348" t="s">
        <v>52</v>
      </c>
      <c r="C59" s="334">
        <v>201</v>
      </c>
      <c r="D59" s="334">
        <v>9469605.8634539805</v>
      </c>
      <c r="E59" s="334">
        <v>335</v>
      </c>
      <c r="F59" s="334">
        <v>8642876.955226751</v>
      </c>
    </row>
    <row r="60" spans="1:6">
      <c r="A60" s="348" t="s">
        <v>49</v>
      </c>
      <c r="B60" s="348" t="s">
        <v>53</v>
      </c>
      <c r="C60" s="334">
        <v>75</v>
      </c>
      <c r="D60" s="334">
        <v>4154917.79367093</v>
      </c>
      <c r="E60" s="334">
        <v>79</v>
      </c>
      <c r="F60" s="334">
        <v>1950596.3427817391</v>
      </c>
    </row>
    <row r="61" spans="1:6">
      <c r="A61" s="348" t="s">
        <v>49</v>
      </c>
      <c r="B61" s="348" t="s">
        <v>54</v>
      </c>
      <c r="C61" s="334">
        <v>384</v>
      </c>
      <c r="D61" s="334">
        <v>18015794.874193899</v>
      </c>
      <c r="E61" s="334">
        <v>590</v>
      </c>
      <c r="F61" s="334">
        <v>9014272.9351947997</v>
      </c>
    </row>
    <row r="62" spans="1:6">
      <c r="A62" s="348" t="s">
        <v>49</v>
      </c>
      <c r="B62" s="348" t="s">
        <v>55</v>
      </c>
      <c r="C62" s="334">
        <v>17</v>
      </c>
      <c r="D62" s="334">
        <v>4251580.1867404804</v>
      </c>
      <c r="E62" s="334">
        <v>17</v>
      </c>
      <c r="F62" s="334">
        <v>689929.9049566196</v>
      </c>
    </row>
    <row r="63" spans="1:6">
      <c r="A63" s="348" t="s">
        <v>49</v>
      </c>
      <c r="B63" s="348" t="s">
        <v>29</v>
      </c>
      <c r="C63" s="334">
        <v>106</v>
      </c>
      <c r="D63" s="334">
        <v>5723829.7309529101</v>
      </c>
      <c r="E63" s="334">
        <v>90</v>
      </c>
      <c r="F63" s="334">
        <v>2035393.9141015301</v>
      </c>
    </row>
    <row r="64" spans="1:6">
      <c r="A64" s="348" t="s">
        <v>56</v>
      </c>
      <c r="B64" s="348" t="s">
        <v>57</v>
      </c>
      <c r="C64" s="334">
        <v>0</v>
      </c>
      <c r="D64" s="334">
        <v>0</v>
      </c>
      <c r="E64" s="334">
        <v>0</v>
      </c>
      <c r="F64" s="334">
        <v>0</v>
      </c>
    </row>
    <row r="65" spans="1:6">
      <c r="A65" s="348" t="s">
        <v>56</v>
      </c>
      <c r="B65" s="348" t="s">
        <v>29</v>
      </c>
      <c r="C65" s="334">
        <v>5</v>
      </c>
      <c r="D65" s="334">
        <v>170632.37111791101</v>
      </c>
      <c r="E65" s="334">
        <v>4</v>
      </c>
      <c r="F65" s="334">
        <v>29298.433537225101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4</v>
      </c>
      <c r="D68" s="334">
        <v>177710.97891748601</v>
      </c>
      <c r="E68" s="334">
        <v>9</v>
      </c>
      <c r="F68" s="334">
        <v>59861</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67397454</v>
      </c>
      <c r="E73" s="476">
        <v>68017410.126027763</v>
      </c>
    </row>
    <row r="74" spans="1:6">
      <c r="A74" s="348" t="s">
        <v>64</v>
      </c>
      <c r="B74" s="348" t="s">
        <v>657</v>
      </c>
      <c r="C74" s="1213" t="s">
        <v>659</v>
      </c>
      <c r="D74" s="476">
        <v>4468843.3075131876</v>
      </c>
      <c r="E74" s="476">
        <v>4483633.6787822777</v>
      </c>
    </row>
    <row r="75" spans="1:6">
      <c r="A75" s="348" t="s">
        <v>65</v>
      </c>
      <c r="B75" s="348" t="s">
        <v>656</v>
      </c>
      <c r="C75" s="1213" t="s">
        <v>660</v>
      </c>
      <c r="D75" s="476">
        <v>22391236</v>
      </c>
      <c r="E75" s="476">
        <v>22764403.384457838</v>
      </c>
    </row>
    <row r="76" spans="1:6">
      <c r="A76" s="348" t="s">
        <v>65</v>
      </c>
      <c r="B76" s="348" t="s">
        <v>657</v>
      </c>
      <c r="C76" s="1213" t="s">
        <v>661</v>
      </c>
      <c r="D76" s="476">
        <v>668928.30751318787</v>
      </c>
      <c r="E76" s="476">
        <v>664490.15282629128</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633015.38497362426</v>
      </c>
      <c r="C83" s="476">
        <v>635801.43600766174</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3698.6891268353047</v>
      </c>
    </row>
    <row r="92" spans="1:6">
      <c r="A92" s="341" t="s">
        <v>69</v>
      </c>
      <c r="B92" s="342">
        <v>1759.3790126467773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6500</v>
      </c>
    </row>
    <row r="98" spans="1:6">
      <c r="A98" s="348" t="s">
        <v>72</v>
      </c>
      <c r="B98" s="334">
        <v>5</v>
      </c>
    </row>
    <row r="99" spans="1:6">
      <c r="A99" s="348" t="s">
        <v>73</v>
      </c>
      <c r="B99" s="334">
        <v>26</v>
      </c>
    </row>
    <row r="100" spans="1:6">
      <c r="A100" s="348" t="s">
        <v>74</v>
      </c>
      <c r="B100" s="334">
        <v>965</v>
      </c>
    </row>
    <row r="101" spans="1:6">
      <c r="A101" s="348" t="s">
        <v>75</v>
      </c>
      <c r="B101" s="334">
        <v>98</v>
      </c>
    </row>
    <row r="102" spans="1:6">
      <c r="A102" s="348" t="s">
        <v>76</v>
      </c>
      <c r="B102" s="334">
        <v>124</v>
      </c>
    </row>
    <row r="103" spans="1:6">
      <c r="A103" s="348" t="s">
        <v>77</v>
      </c>
      <c r="B103" s="334">
        <v>129</v>
      </c>
    </row>
    <row r="104" spans="1:6">
      <c r="A104" s="348" t="s">
        <v>78</v>
      </c>
      <c r="B104" s="334">
        <v>1907</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33</v>
      </c>
      <c r="C123" s="334">
        <v>35</v>
      </c>
    </row>
    <row r="124" spans="1:6">
      <c r="A124" s="341" t="s">
        <v>89</v>
      </c>
      <c r="B124" s="334">
        <v>2</v>
      </c>
      <c r="C124" s="334">
        <v>3</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130</v>
      </c>
    </row>
    <row r="130" spans="1:6">
      <c r="A130" s="348" t="s">
        <v>295</v>
      </c>
      <c r="B130" s="334">
        <v>2</v>
      </c>
    </row>
    <row r="131" spans="1:6">
      <c r="A131" s="348" t="s">
        <v>296</v>
      </c>
      <c r="B131" s="334">
        <v>3</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86270.762243514808</v>
      </c>
      <c r="C3" s="43" t="s">
        <v>170</v>
      </c>
      <c r="D3" s="43"/>
      <c r="E3" s="154"/>
      <c r="F3" s="43"/>
      <c r="G3" s="43"/>
      <c r="H3" s="43"/>
      <c r="I3" s="43"/>
      <c r="J3" s="43"/>
      <c r="K3" s="96"/>
    </row>
    <row r="4" spans="1:11">
      <c r="A4" s="383" t="s">
        <v>171</v>
      </c>
      <c r="B4" s="49">
        <f>IF(ISERROR('SEAP template'!B69),0,'SEAP template'!B69)</f>
        <v>5458.0681394820822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0.20701805493011954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1047.481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1047.481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0.20701805493011954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216.84747919625656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48002.6622481788</v>
      </c>
      <c r="C5" s="17">
        <f>IF(ISERROR('Eigen informatie GS &amp; warmtenet'!B57),0,'Eigen informatie GS &amp; warmtenet'!B57)</f>
        <v>0</v>
      </c>
      <c r="D5" s="30">
        <f>(SUM(HH_hh_gas_kWh,HH_rest_gas_kWh)/1000)*0.902</f>
        <v>163079.80045215474</v>
      </c>
      <c r="E5" s="17">
        <f>B46*B57</f>
        <v>1129.3276061804029</v>
      </c>
      <c r="F5" s="17">
        <f>B51*B62</f>
        <v>0</v>
      </c>
      <c r="G5" s="18"/>
      <c r="H5" s="17"/>
      <c r="I5" s="17"/>
      <c r="J5" s="17">
        <f>B50*B61+C50*C61</f>
        <v>0</v>
      </c>
      <c r="K5" s="17"/>
      <c r="L5" s="17"/>
      <c r="M5" s="17"/>
      <c r="N5" s="17">
        <f>B48*B59+C48*C59</f>
        <v>14506.590119218487</v>
      </c>
      <c r="O5" s="17">
        <f>B69*B70*B71</f>
        <v>262.64000000000004</v>
      </c>
      <c r="P5" s="17">
        <f>B77*B78*B79/1000-B77*B78*B79/1000/B80</f>
        <v>1048.6666666666667</v>
      </c>
    </row>
    <row r="6" spans="1:16">
      <c r="A6" s="16" t="s">
        <v>621</v>
      </c>
      <c r="B6" s="843">
        <f>kWh_PV_kleiner_dan_10kW</f>
        <v>3698.6891268353047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51701.351375014106</v>
      </c>
      <c r="C8" s="21">
        <f>C5</f>
        <v>0</v>
      </c>
      <c r="D8" s="21">
        <f>D5</f>
        <v>163079.80045215474</v>
      </c>
      <c r="E8" s="21">
        <f>E5</f>
        <v>1129.3276061804029</v>
      </c>
      <c r="F8" s="21">
        <f>F5</f>
        <v>0</v>
      </c>
      <c r="G8" s="21"/>
      <c r="H8" s="21"/>
      <c r="I8" s="21"/>
      <c r="J8" s="21">
        <f>J5</f>
        <v>0</v>
      </c>
      <c r="K8" s="21"/>
      <c r="L8" s="21">
        <f>L5</f>
        <v>0</v>
      </c>
      <c r="M8" s="21">
        <f>M5</f>
        <v>0</v>
      </c>
      <c r="N8" s="21">
        <f>N5</f>
        <v>14506.590119218487</v>
      </c>
      <c r="O8" s="21">
        <f>O5</f>
        <v>262.64000000000004</v>
      </c>
      <c r="P8" s="21">
        <f>P5</f>
        <v>1048.6666666666667</v>
      </c>
    </row>
    <row r="9" spans="1:16">
      <c r="B9" s="19"/>
      <c r="C9" s="19"/>
      <c r="D9" s="258"/>
      <c r="E9" s="19"/>
      <c r="F9" s="19"/>
      <c r="G9" s="19"/>
      <c r="H9" s="19"/>
      <c r="I9" s="19"/>
      <c r="J9" s="19"/>
      <c r="K9" s="19"/>
      <c r="L9" s="19"/>
      <c r="M9" s="19"/>
      <c r="N9" s="19"/>
      <c r="O9" s="19"/>
      <c r="P9" s="19"/>
    </row>
    <row r="10" spans="1:16">
      <c r="A10" s="24" t="s">
        <v>214</v>
      </c>
      <c r="B10" s="25">
        <f ca="1">'EF ele_warmte'!B12</f>
        <v>0.20701805493011954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10703.113198914081</v>
      </c>
      <c r="C12" s="23">
        <f ca="1">C10*C8</f>
        <v>0</v>
      </c>
      <c r="D12" s="23">
        <f>D8*D10</f>
        <v>32942.119691335261</v>
      </c>
      <c r="E12" s="23">
        <f>E10*E8</f>
        <v>256.35736660295146</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6500</v>
      </c>
      <c r="C18" s="166" t="s">
        <v>111</v>
      </c>
      <c r="D18" s="228"/>
      <c r="E18" s="15"/>
    </row>
    <row r="19" spans="1:7">
      <c r="A19" s="171" t="s">
        <v>72</v>
      </c>
      <c r="B19" s="37">
        <f>aantalw2001_ander</f>
        <v>5</v>
      </c>
      <c r="C19" s="166" t="s">
        <v>111</v>
      </c>
      <c r="D19" s="229"/>
      <c r="E19" s="15"/>
    </row>
    <row r="20" spans="1:7">
      <c r="A20" s="171" t="s">
        <v>73</v>
      </c>
      <c r="B20" s="37">
        <f>aantalw2001_propaan</f>
        <v>26</v>
      </c>
      <c r="C20" s="167">
        <f>IF(ISERROR(B20/SUM($B$20,$B$21,$B$22)*100),0,B20/SUM($B$20,$B$21,$B$22)*100)</f>
        <v>2.3875114784205693</v>
      </c>
      <c r="D20" s="229"/>
      <c r="E20" s="15"/>
    </row>
    <row r="21" spans="1:7">
      <c r="A21" s="171" t="s">
        <v>74</v>
      </c>
      <c r="B21" s="37">
        <f>aantalw2001_elektriciteit</f>
        <v>965</v>
      </c>
      <c r="C21" s="167">
        <f>IF(ISERROR(B21/SUM($B$20,$B$21,$B$22)*100),0,B21/SUM($B$20,$B$21,$B$22)*100)</f>
        <v>88.613406795224975</v>
      </c>
      <c r="D21" s="229"/>
      <c r="E21" s="15"/>
    </row>
    <row r="22" spans="1:7">
      <c r="A22" s="171" t="s">
        <v>75</v>
      </c>
      <c r="B22" s="37">
        <f>aantalw2001_hout</f>
        <v>98</v>
      </c>
      <c r="C22" s="167">
        <f>IF(ISERROR(B22/SUM($B$20,$B$21,$B$22)*100),0,B22/SUM($B$20,$B$21,$B$22)*100)</f>
        <v>8.9990817263544542</v>
      </c>
      <c r="D22" s="229"/>
      <c r="E22" s="15"/>
    </row>
    <row r="23" spans="1:7">
      <c r="A23" s="171" t="s">
        <v>76</v>
      </c>
      <c r="B23" s="37">
        <f>aantalw2001_niet_gespec</f>
        <v>124</v>
      </c>
      <c r="C23" s="166" t="s">
        <v>111</v>
      </c>
      <c r="D23" s="228"/>
      <c r="E23" s="15"/>
    </row>
    <row r="24" spans="1:7">
      <c r="A24" s="171" t="s">
        <v>77</v>
      </c>
      <c r="B24" s="37">
        <f>aantalw2001_steenkool</f>
        <v>129</v>
      </c>
      <c r="C24" s="166" t="s">
        <v>111</v>
      </c>
      <c r="D24" s="229"/>
      <c r="E24" s="15"/>
    </row>
    <row r="25" spans="1:7">
      <c r="A25" s="171" t="s">
        <v>78</v>
      </c>
      <c r="B25" s="37">
        <f>aantalw2001_stookolie</f>
        <v>1907</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794</v>
      </c>
      <c r="B28" s="37">
        <f>aantalHuishoudens2011</f>
        <v>11038</v>
      </c>
      <c r="C28" s="36"/>
      <c r="D28" s="228"/>
    </row>
    <row r="29" spans="1:7" s="15" customFormat="1">
      <c r="A29" s="230" t="s">
        <v>795</v>
      </c>
      <c r="B29" s="37">
        <f>SUM(HH_hh_gas_aantal,HH_rest_gas_aantal)</f>
        <v>8749</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8749</v>
      </c>
      <c r="C32" s="167">
        <f>IF(ISERROR(B32/SUM($B$32,$B$34,$B$35,$B$36,$B$38,$B$39)*100),0,B32/SUM($B$32,$B$34,$B$35,$B$36,$B$38,$B$39)*100)</f>
        <v>79.659473732131488</v>
      </c>
      <c r="D32" s="233"/>
      <c r="G32" s="15"/>
    </row>
    <row r="33" spans="1:7">
      <c r="A33" s="171" t="s">
        <v>72</v>
      </c>
      <c r="B33" s="34" t="s">
        <v>111</v>
      </c>
      <c r="C33" s="167"/>
      <c r="D33" s="233"/>
      <c r="G33" s="15"/>
    </row>
    <row r="34" spans="1:7">
      <c r="A34" s="171" t="s">
        <v>73</v>
      </c>
      <c r="B34" s="33">
        <f>IF((($B$28-$B$32-$B$39-$B$77-$B$38)*C20/100)&lt;0,0,($B$28-$B$32-$B$39-$B$77-$B$38)*C20/100)</f>
        <v>53.337006427915519</v>
      </c>
      <c r="C34" s="167">
        <f>IF(ISERROR(B34/SUM($B$32,$B$34,$B$35,$B$36,$B$38,$B$39)*100),0,B34/SUM($B$32,$B$34,$B$35,$B$36,$B$38,$B$39)*100)</f>
        <v>0.48563239941651209</v>
      </c>
      <c r="D34" s="233"/>
      <c r="G34" s="15"/>
    </row>
    <row r="35" spans="1:7">
      <c r="A35" s="171" t="s">
        <v>74</v>
      </c>
      <c r="B35" s="33">
        <f>IF((($B$28-$B$32-$B$39-$B$77-$B$38)*C21/100)&lt;0,0,($B$28-$B$32-$B$39-$B$77-$B$38)*C21/100)</f>
        <v>1979.623507805326</v>
      </c>
      <c r="C35" s="167">
        <f>IF(ISERROR(B35/SUM($B$32,$B$34,$B$35,$B$36,$B$38,$B$39)*100),0,B35/SUM($B$32,$B$34,$B$35,$B$36,$B$38,$B$39)*100)</f>
        <v>18.024433286035933</v>
      </c>
      <c r="D35" s="233"/>
      <c r="G35" s="15"/>
    </row>
    <row r="36" spans="1:7">
      <c r="A36" s="171" t="s">
        <v>75</v>
      </c>
      <c r="B36" s="33">
        <f>IF((($B$28-$B$32-$B$39-$B$77-$B$38)*C22/100)&lt;0,0,($B$28-$B$32-$B$39-$B$77-$B$38)*C22/100)</f>
        <v>201.0394857667585</v>
      </c>
      <c r="C36" s="167">
        <f>IF(ISERROR(B36/SUM($B$32,$B$34,$B$35,$B$36,$B$38,$B$39)*100),0,B36/SUM($B$32,$B$34,$B$35,$B$36,$B$38,$B$39)*100)</f>
        <v>1.8304605824160842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8749</v>
      </c>
      <c r="C44" s="34" t="s">
        <v>111</v>
      </c>
      <c r="D44" s="174"/>
    </row>
    <row r="45" spans="1:7">
      <c r="A45" s="171" t="s">
        <v>72</v>
      </c>
      <c r="B45" s="33" t="str">
        <f t="shared" si="0"/>
        <v>-</v>
      </c>
      <c r="C45" s="34" t="s">
        <v>111</v>
      </c>
      <c r="D45" s="174"/>
    </row>
    <row r="46" spans="1:7">
      <c r="A46" s="171" t="s">
        <v>73</v>
      </c>
      <c r="B46" s="33">
        <f t="shared" si="0"/>
        <v>53.337006427915519</v>
      </c>
      <c r="C46" s="34" t="s">
        <v>111</v>
      </c>
      <c r="D46" s="174"/>
    </row>
    <row r="47" spans="1:7">
      <c r="A47" s="171" t="s">
        <v>74</v>
      </c>
      <c r="B47" s="33">
        <f t="shared" si="0"/>
        <v>1979.623507805326</v>
      </c>
      <c r="C47" s="34" t="s">
        <v>111</v>
      </c>
      <c r="D47" s="174"/>
    </row>
    <row r="48" spans="1:7">
      <c r="A48" s="171" t="s">
        <v>75</v>
      </c>
      <c r="B48" s="33">
        <f t="shared" si="0"/>
        <v>201.0394857667585</v>
      </c>
      <c r="C48" s="33">
        <f>B48*10</f>
        <v>2010.394857667585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26803.624207840403</v>
      </c>
      <c r="C5" s="17">
        <f>IF(ISERROR('Eigen informatie GS &amp; warmtenet'!B58),0,'Eigen informatie GS &amp; warmtenet'!B58)</f>
        <v>0</v>
      </c>
      <c r="D5" s="30">
        <f>SUM(D6:D12)</f>
        <v>50310.594714439525</v>
      </c>
      <c r="E5" s="17">
        <f>SUM(E6:E12)</f>
        <v>380.98375448960758</v>
      </c>
      <c r="F5" s="17">
        <f>SUM(F6:F12)</f>
        <v>4759.1348546655654</v>
      </c>
      <c r="G5" s="18"/>
      <c r="H5" s="17"/>
      <c r="I5" s="17"/>
      <c r="J5" s="17">
        <f>SUM(J6:J12)</f>
        <v>7.3229413313571454E-2</v>
      </c>
      <c r="K5" s="17"/>
      <c r="L5" s="17"/>
      <c r="M5" s="17"/>
      <c r="N5" s="17">
        <f>SUM(N6:N12)</f>
        <v>2912.6904299817475</v>
      </c>
      <c r="O5" s="17">
        <f>B38*B39*B40</f>
        <v>3.1266666666666669</v>
      </c>
      <c r="P5" s="17">
        <f>B46*B47*B48/1000-B46*B47*B48/1000/B49</f>
        <v>76.266666666666666</v>
      </c>
      <c r="R5" s="32"/>
    </row>
    <row r="6" spans="1:18">
      <c r="A6" s="32" t="s">
        <v>54</v>
      </c>
      <c r="B6" s="37">
        <f>B26</f>
        <v>9014.2729351948001</v>
      </c>
      <c r="C6" s="33"/>
      <c r="D6" s="37">
        <f>IF(ISERROR(TER_kantoor_gas_kWh/1000),0,TER_kantoor_gas_kWh/1000)*0.902</f>
        <v>16250.246976522898</v>
      </c>
      <c r="E6" s="33">
        <f>$C$26*'E Balans VL '!I12/100/3.6*1000000</f>
        <v>5.6498464657592229E-2</v>
      </c>
      <c r="F6" s="33">
        <f>$C$26*('E Balans VL '!L12+'E Balans VL '!N12)/100/3.6*1000000</f>
        <v>1354.5933393509581</v>
      </c>
      <c r="G6" s="34"/>
      <c r="H6" s="33"/>
      <c r="I6" s="33"/>
      <c r="J6" s="33">
        <f>$C$26*('E Balans VL '!D12+'E Balans VL '!E12)/100/3.6*1000000</f>
        <v>0</v>
      </c>
      <c r="K6" s="33"/>
      <c r="L6" s="33"/>
      <c r="M6" s="33"/>
      <c r="N6" s="33">
        <f>$C$26*'E Balans VL '!Y12/100/3.6*1000000</f>
        <v>8.6208155498767205</v>
      </c>
      <c r="O6" s="33"/>
      <c r="P6" s="33"/>
      <c r="R6" s="32"/>
    </row>
    <row r="7" spans="1:18">
      <c r="A7" s="32" t="s">
        <v>53</v>
      </c>
      <c r="B7" s="37">
        <f t="shared" ref="B7:B12" si="0">B27</f>
        <v>1950.5963427817392</v>
      </c>
      <c r="C7" s="33"/>
      <c r="D7" s="37">
        <f>IF(ISERROR(TER_horeca_gas_kWh/1000),0,TER_horeca_gas_kWh/1000)*0.902</f>
        <v>3747.735849891179</v>
      </c>
      <c r="E7" s="33">
        <f>$C$27*'E Balans VL '!I9/100/3.6*1000000</f>
        <v>27.932214721307986</v>
      </c>
      <c r="F7" s="33">
        <f>$C$27*('E Balans VL '!L9+'E Balans VL '!N9)/100/3.6*1000000</f>
        <v>247.00983014204311</v>
      </c>
      <c r="G7" s="34"/>
      <c r="H7" s="33"/>
      <c r="I7" s="33"/>
      <c r="J7" s="33">
        <f>$C$27*('E Balans VL '!D9+'E Balans VL '!E9)/100/3.6*1000000</f>
        <v>0</v>
      </c>
      <c r="K7" s="33"/>
      <c r="L7" s="33"/>
      <c r="M7" s="33"/>
      <c r="N7" s="33">
        <f>$C$27*'E Balans VL '!Y9/100/3.6*1000000</f>
        <v>0.56075344159209461</v>
      </c>
      <c r="O7" s="33"/>
      <c r="P7" s="33"/>
      <c r="R7" s="32"/>
    </row>
    <row r="8" spans="1:18">
      <c r="A8" s="6" t="s">
        <v>52</v>
      </c>
      <c r="B8" s="37">
        <f t="shared" si="0"/>
        <v>8642.8769552267513</v>
      </c>
      <c r="C8" s="33"/>
      <c r="D8" s="37">
        <f>IF(ISERROR(TER_handel_gas_kWh/1000),0,TER_handel_gas_kWh/1000)*0.902</f>
        <v>8541.5844888354914</v>
      </c>
      <c r="E8" s="33">
        <f>$C$28*'E Balans VL '!I13/100/3.6*1000000</f>
        <v>313.47608137423731</v>
      </c>
      <c r="F8" s="33">
        <f>$C$28*('E Balans VL '!L13+'E Balans VL '!N13)/100/3.6*1000000</f>
        <v>1664.7056162698543</v>
      </c>
      <c r="G8" s="34"/>
      <c r="H8" s="33"/>
      <c r="I8" s="33"/>
      <c r="J8" s="33">
        <f>$C$28*('E Balans VL '!D13+'E Balans VL '!E13)/100/3.6*1000000</f>
        <v>0</v>
      </c>
      <c r="K8" s="33"/>
      <c r="L8" s="33"/>
      <c r="M8" s="33"/>
      <c r="N8" s="33">
        <f>$C$28*'E Balans VL '!Y13/100/3.6*1000000</f>
        <v>11.972373220285883</v>
      </c>
      <c r="O8" s="33"/>
      <c r="P8" s="33"/>
      <c r="R8" s="32"/>
    </row>
    <row r="9" spans="1:18">
      <c r="A9" s="32" t="s">
        <v>51</v>
      </c>
      <c r="B9" s="37">
        <f t="shared" si="0"/>
        <v>1323.9401541681848</v>
      </c>
      <c r="C9" s="33"/>
      <c r="D9" s="37">
        <f>IF(ISERROR(TER_gezond_gas_kWh/1000),0,TER_gezond_gas_kWh/1000)*0.902</f>
        <v>8527.3583714266679</v>
      </c>
      <c r="E9" s="33">
        <f>$C$29*'E Balans VL '!I10/100/3.6*1000000</f>
        <v>8.2891725198439167E-2</v>
      </c>
      <c r="F9" s="33">
        <f>$C$29*('E Balans VL '!L10+'E Balans VL '!N10)/100/3.6*1000000</f>
        <v>196.67534091555984</v>
      </c>
      <c r="G9" s="34"/>
      <c r="H9" s="33"/>
      <c r="I9" s="33"/>
      <c r="J9" s="33">
        <f>$C$29*('E Balans VL '!D10+'E Balans VL '!E10)/100/3.6*1000000</f>
        <v>0</v>
      </c>
      <c r="K9" s="33"/>
      <c r="L9" s="33"/>
      <c r="M9" s="33"/>
      <c r="N9" s="33">
        <f>$C$29*'E Balans VL '!Y10/100/3.6*1000000</f>
        <v>20.478834053978328</v>
      </c>
      <c r="O9" s="33"/>
      <c r="P9" s="33"/>
      <c r="R9" s="32"/>
    </row>
    <row r="10" spans="1:18">
      <c r="A10" s="32" t="s">
        <v>50</v>
      </c>
      <c r="B10" s="37">
        <f t="shared" si="0"/>
        <v>3146.614001410785</v>
      </c>
      <c r="C10" s="33"/>
      <c r="D10" s="37">
        <f>IF(ISERROR(TER_ander_gas_kWh/1000),0,TER_ander_gas_kWh/1000)*0.902</f>
        <v>4245.8492820038464</v>
      </c>
      <c r="E10" s="33">
        <f>$C$30*'E Balans VL '!I14/100/3.6*1000000</f>
        <v>3.7506514486964324</v>
      </c>
      <c r="F10" s="33">
        <f>$C$30*('E Balans VL '!L14+'E Balans VL '!N14)/100/3.6*1000000</f>
        <v>823.29411024036233</v>
      </c>
      <c r="G10" s="34"/>
      <c r="H10" s="33"/>
      <c r="I10" s="33"/>
      <c r="J10" s="33">
        <f>$C$30*('E Balans VL '!D14+'E Balans VL '!E14)/100/3.6*1000000</f>
        <v>6.8300655584319178E-2</v>
      </c>
      <c r="K10" s="33"/>
      <c r="L10" s="33"/>
      <c r="M10" s="33"/>
      <c r="N10" s="33">
        <f>$C$30*'E Balans VL '!Y14/100/3.6*1000000</f>
        <v>2672.0276134372275</v>
      </c>
      <c r="O10" s="33"/>
      <c r="P10" s="33"/>
      <c r="R10" s="32"/>
    </row>
    <row r="11" spans="1:18">
      <c r="A11" s="32" t="s">
        <v>55</v>
      </c>
      <c r="B11" s="37">
        <f t="shared" si="0"/>
        <v>689.92990495661957</v>
      </c>
      <c r="C11" s="33"/>
      <c r="D11" s="37">
        <f>IF(ISERROR(TER_onderwijs_gas_kWh/1000),0,TER_onderwijs_gas_kWh/1000)*0.902</f>
        <v>3834.9253284399138</v>
      </c>
      <c r="E11" s="33">
        <f>$C$31*'E Balans VL '!I11/100/3.6*1000000</f>
        <v>10.409931028016194</v>
      </c>
      <c r="F11" s="33">
        <f>$C$31*('E Balans VL '!L11+'E Balans VL '!N11)/100/3.6*1000000</f>
        <v>120.88674130653099</v>
      </c>
      <c r="G11" s="34"/>
      <c r="H11" s="33"/>
      <c r="I11" s="33"/>
      <c r="J11" s="33">
        <f>$C$31*('E Balans VL '!D11+'E Balans VL '!E11)/100/3.6*1000000</f>
        <v>0</v>
      </c>
      <c r="K11" s="33"/>
      <c r="L11" s="33"/>
      <c r="M11" s="33"/>
      <c r="N11" s="33">
        <f>$C$31*'E Balans VL '!Y11/100/3.6*1000000</f>
        <v>1.9415152030167142</v>
      </c>
      <c r="O11" s="33"/>
      <c r="P11" s="33"/>
      <c r="R11" s="32"/>
    </row>
    <row r="12" spans="1:18">
      <c r="A12" s="32" t="s">
        <v>260</v>
      </c>
      <c r="B12" s="37">
        <f t="shared" si="0"/>
        <v>2035.3939141015301</v>
      </c>
      <c r="C12" s="33"/>
      <c r="D12" s="37">
        <f>IF(ISERROR(TER_rest_gas_kWh/1000),0,TER_rest_gas_kWh/1000)*0.902</f>
        <v>5162.894417319525</v>
      </c>
      <c r="E12" s="33">
        <f>$C$32*'E Balans VL '!I8/100/3.6*1000000</f>
        <v>25.275485727493585</v>
      </c>
      <c r="F12" s="33">
        <f>$C$32*('E Balans VL '!L8+'E Balans VL '!N8)/100/3.6*1000000</f>
        <v>351.96987644025722</v>
      </c>
      <c r="G12" s="34"/>
      <c r="H12" s="33"/>
      <c r="I12" s="33"/>
      <c r="J12" s="33">
        <f>$C$32*('E Balans VL '!D8+'E Balans VL '!E8)/100/3.6*1000000</f>
        <v>4.9287577292522764E-3</v>
      </c>
      <c r="K12" s="33"/>
      <c r="L12" s="33"/>
      <c r="M12" s="33"/>
      <c r="N12" s="33">
        <f>$C$32*'E Balans VL '!Y8/100/3.6*1000000</f>
        <v>197.08852507577029</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26803.624207840403</v>
      </c>
      <c r="C16" s="21">
        <f t="shared" ca="1" si="1"/>
        <v>0</v>
      </c>
      <c r="D16" s="21">
        <f t="shared" ca="1" si="1"/>
        <v>50310.594714439525</v>
      </c>
      <c r="E16" s="21">
        <f t="shared" si="1"/>
        <v>380.98375448960758</v>
      </c>
      <c r="F16" s="21">
        <f t="shared" ca="1" si="1"/>
        <v>4759.1348546655654</v>
      </c>
      <c r="G16" s="21">
        <f t="shared" si="1"/>
        <v>0</v>
      </c>
      <c r="H16" s="21">
        <f t="shared" si="1"/>
        <v>0</v>
      </c>
      <c r="I16" s="21">
        <f t="shared" si="1"/>
        <v>0</v>
      </c>
      <c r="J16" s="21">
        <f t="shared" si="1"/>
        <v>7.3229413313571454E-2</v>
      </c>
      <c r="K16" s="21">
        <f t="shared" si="1"/>
        <v>0</v>
      </c>
      <c r="L16" s="21">
        <f t="shared" ca="1" si="1"/>
        <v>0</v>
      </c>
      <c r="M16" s="21">
        <f t="shared" si="1"/>
        <v>0</v>
      </c>
      <c r="N16" s="21">
        <f t="shared" ca="1" si="1"/>
        <v>2912.6904299817475</v>
      </c>
      <c r="O16" s="21">
        <f>O5</f>
        <v>3.1266666666666669</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0.20701805493011954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5548.8341485849869</v>
      </c>
      <c r="C20" s="23">
        <f t="shared" ref="C20:P20" ca="1" si="2">C16*C18</f>
        <v>0</v>
      </c>
      <c r="D20" s="23">
        <f t="shared" ca="1" si="2"/>
        <v>10162.740132316785</v>
      </c>
      <c r="E20" s="23">
        <f t="shared" si="2"/>
        <v>86.483312269140924</v>
      </c>
      <c r="F20" s="23">
        <f t="shared" ca="1" si="2"/>
        <v>1270.689006195706</v>
      </c>
      <c r="G20" s="23">
        <f t="shared" si="2"/>
        <v>0</v>
      </c>
      <c r="H20" s="23">
        <f t="shared" si="2"/>
        <v>0</v>
      </c>
      <c r="I20" s="23">
        <f t="shared" si="2"/>
        <v>0</v>
      </c>
      <c r="J20" s="23">
        <f t="shared" si="2"/>
        <v>2.5923212313004294E-2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9014.2729351948001</v>
      </c>
      <c r="C26" s="39">
        <f>IF(ISERROR(B26*3.6/1000000/'E Balans VL '!Z12*100),0,B26*3.6/1000000/'E Balans VL '!Z12*100)</f>
        <v>0.19054745008823998</v>
      </c>
      <c r="D26" s="237" t="s">
        <v>754</v>
      </c>
      <c r="F26" s="6"/>
    </row>
    <row r="27" spans="1:18">
      <c r="A27" s="231" t="s">
        <v>53</v>
      </c>
      <c r="B27" s="33">
        <f>IF(ISERROR(TER_horeca_ele_kWh/1000),0,TER_horeca_ele_kWh/1000)</f>
        <v>1950.5963427817392</v>
      </c>
      <c r="C27" s="39">
        <f>IF(ISERROR(B27*3.6/1000000/'E Balans VL '!Z9*100),0,B27*3.6/1000000/'E Balans VL '!Z9*100)</f>
        <v>0.15376478267711161</v>
      </c>
      <c r="D27" s="237" t="s">
        <v>754</v>
      </c>
      <c r="F27" s="6"/>
    </row>
    <row r="28" spans="1:18">
      <c r="A28" s="171" t="s">
        <v>52</v>
      </c>
      <c r="B28" s="33">
        <f>IF(ISERROR(TER_handel_ele_kWh/1000),0,TER_handel_ele_kWh/1000)</f>
        <v>8642.8769552267513</v>
      </c>
      <c r="C28" s="39">
        <f>IF(ISERROR(B28*3.6/1000000/'E Balans VL '!Z13*100),0,B28*3.6/1000000/'E Balans VL '!Z13*100)</f>
        <v>0.25085121037670594</v>
      </c>
      <c r="D28" s="237" t="s">
        <v>754</v>
      </c>
      <c r="F28" s="6"/>
    </row>
    <row r="29" spans="1:18">
      <c r="A29" s="231" t="s">
        <v>51</v>
      </c>
      <c r="B29" s="33">
        <f>IF(ISERROR(TER_gezond_ele_kWh/1000),0,TER_gezond_ele_kWh/1000)</f>
        <v>1323.9401541681848</v>
      </c>
      <c r="C29" s="39">
        <f>IF(ISERROR(B29*3.6/1000000/'E Balans VL '!Z10*100),0,B29*3.6/1000000/'E Balans VL '!Z10*100)</f>
        <v>0.13943263790508459</v>
      </c>
      <c r="D29" s="237" t="s">
        <v>754</v>
      </c>
      <c r="F29" s="6"/>
    </row>
    <row r="30" spans="1:18">
      <c r="A30" s="231" t="s">
        <v>50</v>
      </c>
      <c r="B30" s="33">
        <f>IF(ISERROR(TER_ander_ele_kWh/1000),0,TER_ander_ele_kWh/1000)</f>
        <v>3146.614001410785</v>
      </c>
      <c r="C30" s="39">
        <f>IF(ISERROR(B30*3.6/1000000/'E Balans VL '!Z14*100),0,B30*3.6/1000000/'E Balans VL '!Z14*100)</f>
        <v>0.2320949321852209</v>
      </c>
      <c r="D30" s="237" t="s">
        <v>754</v>
      </c>
      <c r="F30" s="6"/>
    </row>
    <row r="31" spans="1:18">
      <c r="A31" s="231" t="s">
        <v>55</v>
      </c>
      <c r="B31" s="33">
        <f>IF(ISERROR(TER_onderwijs_ele_kWh/1000),0,TER_onderwijs_ele_kWh/1000)</f>
        <v>689.92990495661957</v>
      </c>
      <c r="C31" s="39">
        <f>IF(ISERROR(B31*3.6/1000000/'E Balans VL '!Z11*100),0,B31*3.6/1000000/'E Balans VL '!Z11*100)</f>
        <v>0.17134191362076334</v>
      </c>
      <c r="D31" s="237" t="s">
        <v>754</v>
      </c>
    </row>
    <row r="32" spans="1:18">
      <c r="A32" s="231" t="s">
        <v>260</v>
      </c>
      <c r="B32" s="33">
        <f>IF(ISERROR(TER_rest_ele_kWh/1000),0,TER_rest_ele_kWh/1000)</f>
        <v>2035.3939141015301</v>
      </c>
      <c r="C32" s="39">
        <f>IF(ISERROR(B32*3.6/1000000/'E Balans VL '!Z8*100),0,B32*3.6/1000000/'E Balans VL '!Z8*100)</f>
        <v>1.6748590202270652E-2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4</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6562.7222254937988</v>
      </c>
      <c r="C5" s="17">
        <f>IF(ISERROR('Eigen informatie GS &amp; warmtenet'!B59),0,'Eigen informatie GS &amp; warmtenet'!B59)</f>
        <v>0</v>
      </c>
      <c r="D5" s="30">
        <f>SUM(D6:D15)</f>
        <v>6220.6132787433035</v>
      </c>
      <c r="E5" s="17">
        <f>SUM(E6:E15)</f>
        <v>1367.5829990648365</v>
      </c>
      <c r="F5" s="17">
        <f>SUM(F6:F15)</f>
        <v>3876.0841588322232</v>
      </c>
      <c r="G5" s="18"/>
      <c r="H5" s="17"/>
      <c r="I5" s="17"/>
      <c r="J5" s="17">
        <f>SUM(J6:J15)</f>
        <v>1.8590829352598368</v>
      </c>
      <c r="K5" s="17"/>
      <c r="L5" s="17"/>
      <c r="M5" s="17"/>
      <c r="N5" s="17">
        <f>SUM(N6:N15)</f>
        <v>1893.5411060687215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308.43599999999998</v>
      </c>
      <c r="C8" s="33"/>
      <c r="D8" s="37">
        <f>IF( ISERROR(IND_metaal_Gas_kWH/1000),0,IND_metaal_Gas_kWH/1000)*0.902</f>
        <v>31.193205511516009</v>
      </c>
      <c r="E8" s="33">
        <f>C30*'E Balans VL '!I18/100/3.6*1000000</f>
        <v>2.8357711296782537</v>
      </c>
      <c r="F8" s="33">
        <f>C30*'E Balans VL '!L18/100/3.6*1000000+C30*'E Balans VL '!N18/100/3.6*1000000</f>
        <v>28.921027926097501</v>
      </c>
      <c r="G8" s="34"/>
      <c r="H8" s="33"/>
      <c r="I8" s="33"/>
      <c r="J8" s="40">
        <f>C30*'E Balans VL '!D18/100/3.6*1000000+C30*'E Balans VL '!E18/100/3.6*1000000</f>
        <v>0</v>
      </c>
      <c r="K8" s="33"/>
      <c r="L8" s="33"/>
      <c r="M8" s="33"/>
      <c r="N8" s="33">
        <f>C30*'E Balans VL '!Y18/100/3.6*1000000</f>
        <v>4.4003492519545029</v>
      </c>
      <c r="O8" s="33"/>
      <c r="P8" s="33"/>
      <c r="R8" s="32"/>
    </row>
    <row r="9" spans="1:18">
      <c r="A9" s="6" t="s">
        <v>33</v>
      </c>
      <c r="B9" s="37">
        <f t="shared" si="0"/>
        <v>4562.5194257281601</v>
      </c>
      <c r="C9" s="33"/>
      <c r="D9" s="37">
        <f>IF( ISERROR(IND_andere_gas_kWh/1000),0,IND_andere_gas_kWh/1000)*0.902</f>
        <v>3939.6909392650182</v>
      </c>
      <c r="E9" s="33">
        <f>C31*'E Balans VL '!I19/100/3.6*1000000</f>
        <v>1333.7132499170923</v>
      </c>
      <c r="F9" s="33">
        <f>C31*'E Balans VL '!L19/100/3.6*1000000+C31*'E Balans VL '!N19/100/3.6*1000000</f>
        <v>3666.3297095602106</v>
      </c>
      <c r="G9" s="34"/>
      <c r="H9" s="33"/>
      <c r="I9" s="33"/>
      <c r="J9" s="40">
        <f>C31*'E Balans VL '!D19/100/3.6*1000000+C31*'E Balans VL '!E19/100/3.6*1000000</f>
        <v>0</v>
      </c>
      <c r="K9" s="33"/>
      <c r="L9" s="33"/>
      <c r="M9" s="33"/>
      <c r="N9" s="33">
        <f>C31*'E Balans VL '!Y19/100/3.6*1000000</f>
        <v>1507.5271779200132</v>
      </c>
      <c r="O9" s="33"/>
      <c r="P9" s="33"/>
      <c r="R9" s="32"/>
    </row>
    <row r="10" spans="1:18">
      <c r="A10" s="6" t="s">
        <v>41</v>
      </c>
      <c r="B10" s="37">
        <f t="shared" si="0"/>
        <v>1095.3305500000001</v>
      </c>
      <c r="C10" s="33"/>
      <c r="D10" s="37">
        <f>IF( ISERROR(IND_voed_gas_kWh/1000),0,IND_voed_gas_kWh/1000)*0.902</f>
        <v>743.09773615207939</v>
      </c>
      <c r="E10" s="33">
        <f>C32*'E Balans VL '!I20/100/3.6*1000000</f>
        <v>2.3171887618263263</v>
      </c>
      <c r="F10" s="33">
        <f>C32*'E Balans VL '!L20/100/3.6*1000000+C32*'E Balans VL '!N20/100/3.6*1000000</f>
        <v>69.642235216347132</v>
      </c>
      <c r="G10" s="34"/>
      <c r="H10" s="33"/>
      <c r="I10" s="33"/>
      <c r="J10" s="40">
        <f>C32*'E Balans VL '!D20/100/3.6*1000000+C32*'E Balans VL '!E20/100/3.6*1000000</f>
        <v>0</v>
      </c>
      <c r="K10" s="33"/>
      <c r="L10" s="33"/>
      <c r="M10" s="33"/>
      <c r="N10" s="33">
        <f>C32*'E Balans VL '!Y20/100/3.6*1000000</f>
        <v>75.588616935980468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28.922999999999998</v>
      </c>
      <c r="C12" s="33"/>
      <c r="D12" s="37">
        <f>IF( ISERROR(IND_min_gas_kWh/1000),0,IND_min_gas_kWh/1000)*0.902</f>
        <v>88.161575980117647</v>
      </c>
      <c r="E12" s="33">
        <f>C34*'E Balans VL '!I22/100/3.6*1000000</f>
        <v>0.8383586748003381</v>
      </c>
      <c r="F12" s="33">
        <f>C34*'E Balans VL '!L22/100/3.6*1000000+C34*'E Balans VL '!N22/100/3.6*1000000</f>
        <v>9.9440542371842504</v>
      </c>
      <c r="G12" s="34"/>
      <c r="H12" s="33"/>
      <c r="I12" s="33"/>
      <c r="J12" s="40">
        <f>C34*'E Balans VL '!D22/100/3.6*1000000+C34*'E Balans VL '!E22/100/3.6*1000000</f>
        <v>4.7529204816042156E-2</v>
      </c>
      <c r="K12" s="33"/>
      <c r="L12" s="33"/>
      <c r="M12" s="33"/>
      <c r="N12" s="33">
        <f>C34*'E Balans VL '!Y22/100/3.6*1000000</f>
        <v>6.3317200000838234</v>
      </c>
      <c r="O12" s="33"/>
      <c r="P12" s="33"/>
      <c r="R12" s="32"/>
    </row>
    <row r="13" spans="1:18">
      <c r="A13" s="6" t="s">
        <v>39</v>
      </c>
      <c r="B13" s="37">
        <f t="shared" si="0"/>
        <v>64.266348703256298</v>
      </c>
      <c r="C13" s="33"/>
      <c r="D13" s="37">
        <f>IF( ISERROR(IND_papier_gas_kWh/1000),0,IND_papier_gas_kWh/1000)*0.902</f>
        <v>121.69988549825084</v>
      </c>
      <c r="E13" s="33">
        <f>C35*'E Balans VL '!I23/100/3.6*1000000</f>
        <v>9.1179251210069423E-2</v>
      </c>
      <c r="F13" s="33">
        <f>C35*'E Balans VL '!L23/100/3.6*1000000+C35*'E Balans VL '!N23/100/3.6*1000000</f>
        <v>1.5689832288983061</v>
      </c>
      <c r="G13" s="34"/>
      <c r="H13" s="33"/>
      <c r="I13" s="33"/>
      <c r="J13" s="40">
        <f>C35*'E Balans VL '!D23/100/3.6*1000000+C35*'E Balans VL '!E23/100/3.6*1000000</f>
        <v>9.9393941962079985E-3</v>
      </c>
      <c r="K13" s="33"/>
      <c r="L13" s="33"/>
      <c r="M13" s="33"/>
      <c r="N13" s="33">
        <f>C35*'E Balans VL '!Y23/100/3.6*1000000</f>
        <v>186.80706279070694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503.24690106238302</v>
      </c>
      <c r="C15" s="33"/>
      <c r="D15" s="37">
        <f>IF( ISERROR(IND_rest_gas_kWh/1000),0,IND_rest_gas_kWh/1000)*0.902</f>
        <v>1296.7699363363204</v>
      </c>
      <c r="E15" s="33">
        <f>C37*'E Balans VL '!I15/100/3.6*1000000</f>
        <v>27.787251330229108</v>
      </c>
      <c r="F15" s="33">
        <f>C37*'E Balans VL '!L15/100/3.6*1000000+C37*'E Balans VL '!N15/100/3.6*1000000</f>
        <v>99.678148663485288</v>
      </c>
      <c r="G15" s="34"/>
      <c r="H15" s="33"/>
      <c r="I15" s="33"/>
      <c r="J15" s="40">
        <f>C37*'E Balans VL '!D15/100/3.6*1000000+C37*'E Balans VL '!E15/100/3.6*1000000</f>
        <v>1.8016143362475867</v>
      </c>
      <c r="K15" s="33"/>
      <c r="L15" s="33"/>
      <c r="M15" s="33"/>
      <c r="N15" s="33">
        <f>C37*'E Balans VL '!Y15/100/3.6*1000000</f>
        <v>112.88617916998227</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6562.7222254937988</v>
      </c>
      <c r="C18" s="21">
        <f>C5+C16</f>
        <v>0</v>
      </c>
      <c r="D18" s="21">
        <f>MAX((D5+D16),0)</f>
        <v>6220.6132787433035</v>
      </c>
      <c r="E18" s="21">
        <f>MAX((E5+E16),0)</f>
        <v>1367.5829990648365</v>
      </c>
      <c r="F18" s="21">
        <f>MAX((F5+F16),0)</f>
        <v>3876.0841588322232</v>
      </c>
      <c r="G18" s="21"/>
      <c r="H18" s="21"/>
      <c r="I18" s="21"/>
      <c r="J18" s="21">
        <f>MAX((J5+J16),0)</f>
        <v>1.8590829352598368</v>
      </c>
      <c r="K18" s="21"/>
      <c r="L18" s="21">
        <f>MAX((L5+L16),0)</f>
        <v>0</v>
      </c>
      <c r="M18" s="21"/>
      <c r="N18" s="21">
        <f>MAX((N5+N16),0)</f>
        <v>1893.5411060687215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0.20701805493011954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1358.6019901683917</v>
      </c>
      <c r="C22" s="23">
        <f ca="1">C18*C20</f>
        <v>0</v>
      </c>
      <c r="D22" s="23">
        <f>D18*D20</f>
        <v>1256.5638823061474</v>
      </c>
      <c r="E22" s="23">
        <f>E18*E20</f>
        <v>310.44134078771788</v>
      </c>
      <c r="F22" s="23">
        <f>F18*F20</f>
        <v>1034.9144704082037</v>
      </c>
      <c r="G22" s="23"/>
      <c r="H22" s="23"/>
      <c r="I22" s="23"/>
      <c r="J22" s="23">
        <f>J18*J20</f>
        <v>0.65811535908198215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308.43599999999998</v>
      </c>
      <c r="C30" s="39">
        <f>IF(ISERROR(B30*3.6/1000000/'E Balans VL '!Z18*100),0,B30*3.6/1000000/'E Balans VL '!Z18*100)</f>
        <v>1.7479859001631484E-2</v>
      </c>
      <c r="D30" s="237" t="s">
        <v>754</v>
      </c>
    </row>
    <row r="31" spans="1:18">
      <c r="A31" s="6" t="s">
        <v>33</v>
      </c>
      <c r="B31" s="37">
        <f>IF( ISERROR(IND_ander_ele_kWh/1000),0,IND_ander_ele_kWh/1000)</f>
        <v>4562.5194257281601</v>
      </c>
      <c r="C31" s="39">
        <f>IF(ISERROR(B31*3.6/1000000/'E Balans VL '!Z19*100),0,B31*3.6/1000000/'E Balans VL '!Z19*100)</f>
        <v>0.206936883150795</v>
      </c>
      <c r="D31" s="237" t="s">
        <v>754</v>
      </c>
    </row>
    <row r="32" spans="1:18">
      <c r="A32" s="171" t="s">
        <v>41</v>
      </c>
      <c r="B32" s="37">
        <f>IF( ISERROR(IND_voed_ele_kWh/1000),0,IND_voed_ele_kWh/1000)</f>
        <v>1095.3305500000001</v>
      </c>
      <c r="C32" s="39">
        <f>IF(ISERROR(B32*3.6/1000000/'E Balans VL '!Z20*100),0,B32*3.6/1000000/'E Balans VL '!Z20*100)</f>
        <v>3.3883546292351574E-2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28.922999999999998</v>
      </c>
      <c r="C34" s="39">
        <f>IF(ISERROR(B34*3.6/1000000/'E Balans VL '!Z22*100),0,B34*3.6/1000000/'E Balans VL '!Z22*100)</f>
        <v>5.2023453127927168E-3</v>
      </c>
      <c r="D34" s="237" t="s">
        <v>754</v>
      </c>
    </row>
    <row r="35" spans="1:5">
      <c r="A35" s="171" t="s">
        <v>39</v>
      </c>
      <c r="B35" s="37">
        <f>IF( ISERROR(IND_papier_ele_kWh/1000),0,IND_papier_ele_kWh/1000)</f>
        <v>64.266348703256298</v>
      </c>
      <c r="C35" s="39">
        <f>IF(ISERROR(B35*3.6/1000000/'E Balans VL '!Z22*100),0,B35*3.6/1000000/'E Balans VL '!Z22*100)</f>
        <v>1.1559511044728684E-2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503.24690106238302</v>
      </c>
      <c r="C37" s="39">
        <f>IF(ISERROR(B37*3.6/1000000/'E Balans VL '!Z15*100),0,B37*3.6/1000000/'E Balans VL '!Z15*100)</f>
        <v>3.9888497368930371E-3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120.26026700831869</v>
      </c>
      <c r="C5" s="17">
        <f>'Eigen informatie GS &amp; warmtenet'!B60</f>
        <v>0</v>
      </c>
      <c r="D5" s="30">
        <f>IF(ISERROR(SUM(LB_lb_gas_kWh,LB_rest_gas_kWh,onbekend_gas_kWh)/1000),0,SUM(LB_lb_gas_kWh,LB_rest_gas_kWh,onbekend_gas_kWh)/1000)*0.902</f>
        <v>4609.831742566339</v>
      </c>
      <c r="E5" s="17">
        <f>B17*'E Balans VL '!I25/3.6*1000000/100</f>
        <v>3.5348165646262379</v>
      </c>
      <c r="F5" s="17">
        <f>B17*('E Balans VL '!L25/3.6*1000000+'E Balans VL '!N25/3.6*1000000)/100</f>
        <v>500.99777383291899</v>
      </c>
      <c r="G5" s="18"/>
      <c r="H5" s="17"/>
      <c r="I5" s="17"/>
      <c r="J5" s="17">
        <f>('E Balans VL '!D25+'E Balans VL '!E25)/3.6*1000000*landbouw!B17/100</f>
        <v>17.423130070708432</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120.26026700831869</v>
      </c>
      <c r="C8" s="21">
        <f>C5+C6</f>
        <v>0</v>
      </c>
      <c r="D8" s="21">
        <f>MAX((D5+D6),0)</f>
        <v>4609.831742566339</v>
      </c>
      <c r="E8" s="21">
        <f>MAX((E5+E6),0)</f>
        <v>3.5348165646262379</v>
      </c>
      <c r="F8" s="21">
        <f>MAX((F5+F6),0)</f>
        <v>500.99777383291899</v>
      </c>
      <c r="G8" s="21"/>
      <c r="H8" s="21"/>
      <c r="I8" s="21"/>
      <c r="J8" s="21">
        <f>MAX((J5+J6),0)</f>
        <v>17.423130070708432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0.20701805493011954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24.896046561438961</v>
      </c>
      <c r="C12" s="23">
        <f ca="1">C8*C10</f>
        <v>0</v>
      </c>
      <c r="D12" s="23">
        <f>D8*D10</f>
        <v>931.18601199840055</v>
      </c>
      <c r="E12" s="23">
        <f>E8*E10</f>
        <v>0.80240336017015601</v>
      </c>
      <c r="F12" s="23">
        <f>F8*F10</f>
        <v>133.76640561338937</v>
      </c>
      <c r="G12" s="23"/>
      <c r="H12" s="23"/>
      <c r="I12" s="23"/>
      <c r="J12" s="23">
        <f>J8*J10</f>
        <v>6.1677880450307843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1.7065309193561532E-2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49.572395930785746</v>
      </c>
      <c r="C26" s="247">
        <f>B26*'GWP N2O_CH4'!B5</f>
        <v>1041.0203145465007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6.4799058401868503</v>
      </c>
      <c r="C27" s="247">
        <f>B27*'GWP N2O_CH4'!B5</f>
        <v>136.07802264392384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0.61308419604586162</v>
      </c>
      <c r="C28" s="247">
        <f>B28*'GWP N2O_CH4'!B4</f>
        <v>190.0561007742171</v>
      </c>
      <c r="D28" s="50"/>
    </row>
    <row r="29" spans="1:4">
      <c r="A29" s="41" t="s">
        <v>277</v>
      </c>
      <c r="B29" s="247">
        <f>B34*'ha_N2O bodem landbouw'!B4</f>
        <v>3.0234499069184455</v>
      </c>
      <c r="C29" s="247">
        <f>B29*'GWP N2O_CH4'!B4</f>
        <v>937.26947114471807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6.8994084948688708E-4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1.2716340536950501E-4</v>
      </c>
      <c r="C5" s="463" t="s">
        <v>211</v>
      </c>
      <c r="D5" s="448">
        <f>SUM(D6:D11)</f>
        <v>4.5541908338781882E-4</v>
      </c>
      <c r="E5" s="448">
        <f>SUM(E6:E11)</f>
        <v>6.0509712598140746E-4</v>
      </c>
      <c r="F5" s="461" t="s">
        <v>211</v>
      </c>
      <c r="G5" s="448">
        <f>SUM(G6:G11)</f>
        <v>0.20266739880552034</v>
      </c>
      <c r="H5" s="448">
        <f>SUM(H6:H11)</f>
        <v>5.1262002303025786E-2</v>
      </c>
      <c r="I5" s="463" t="s">
        <v>211</v>
      </c>
      <c r="J5" s="463" t="s">
        <v>211</v>
      </c>
      <c r="K5" s="463" t="s">
        <v>211</v>
      </c>
      <c r="L5" s="463" t="s">
        <v>211</v>
      </c>
      <c r="M5" s="448">
        <f>SUM(M6:M11)</f>
        <v>1.3362331047644394E-2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9.5451774203127014E-5</v>
      </c>
      <c r="C6" s="449"/>
      <c r="D6" s="962">
        <f>vkm_2011_GW_PW*SUMIFS(TableVerdeelsleutelVkm[CNG],TableVerdeelsleutelVkm[Voertuigtype],"Lichte voertuigen")*SUMIFS(TableECFTransport[EnergieConsumptieFactor (PJ per km)],TableECFTransport[Index],CONCATENATE($A6,"_CNG_CNG"))</f>
        <v>2.8630053827422561E-4</v>
      </c>
      <c r="E6" s="962">
        <f>vkm_2011_GW_PW*SUMIFS(TableVerdeelsleutelVkm[LPG],TableVerdeelsleutelVkm[Voertuigtype],"Lichte voertuigen")*SUMIFS(TableECFTransport[EnergieConsumptieFactor (PJ per km)],TableECFTransport[Index],CONCATENATE($A6,"_LPG_LPG"))</f>
        <v>3.9112766032818033E-4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0.10112768339024432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3.2557696358606121E-2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6.8746448908104428E-3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4.1935844962427526E-2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1.2778957892483116E-5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2.4505915316055471E-3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3.1711631166378014E-5</v>
      </c>
      <c r="C8" s="449"/>
      <c r="D8" s="451">
        <f>vkm_2011_NGW_PW*SUMIFS(TableVerdeelsleutelVkm[CNG],TableVerdeelsleutelVkm[Voertuigtype],"Lichte voertuigen")*SUMIFS(TableECFTransport[EnergieConsumptieFactor (PJ per km)],TableECFTransport[Index],CONCATENATE($A8,"_CNG_CNG"))</f>
        <v>1.6911854511359321E-4</v>
      </c>
      <c r="E8" s="451">
        <f>vkm_2011_NGW_PW*SUMIFS(TableVerdeelsleutelVkm[LPG],TableVerdeelsleutelVkm[Voertuigtype],"Lichte voertuigen")*SUMIFS(TableECFTransport[EnergieConsumptieFactor (PJ per km)],TableECFTransport[Index],CONCATENATE($A8,"_LPG_LPG"))</f>
        <v>2.1396946565322713E-4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5.1554898407150412E-2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1.8689217949421459E-2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3.5667436890107051E-3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8.0489720456981117E-3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2.3090371057192975E-6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4.7035093621769817E-4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35.323168158195834</v>
      </c>
      <c r="C14" s="21"/>
      <c r="D14" s="21">
        <f t="shared" ref="D14:M14" si="0">((D5)*10^9/3600)+D12</f>
        <v>126.50530094106078</v>
      </c>
      <c r="E14" s="21">
        <f t="shared" si="0"/>
        <v>168.08253499483541</v>
      </c>
      <c r="F14" s="21"/>
      <c r="G14" s="21">
        <f t="shared" si="0"/>
        <v>56296.4996682001</v>
      </c>
      <c r="H14" s="21">
        <f t="shared" si="0"/>
        <v>14239.445084173831</v>
      </c>
      <c r="I14" s="21"/>
      <c r="J14" s="21"/>
      <c r="K14" s="21"/>
      <c r="L14" s="21"/>
      <c r="M14" s="21">
        <f t="shared" si="0"/>
        <v>3711.7586243456649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0.20701805493011954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7.3125335660792352</v>
      </c>
      <c r="C18" s="23"/>
      <c r="D18" s="23">
        <f t="shared" ref="D18:M18" si="1">D14*D16</f>
        <v>25.554070790094279</v>
      </c>
      <c r="E18" s="23">
        <f t="shared" si="1"/>
        <v>38.15473544382764</v>
      </c>
      <c r="F18" s="23"/>
      <c r="G18" s="23">
        <f t="shared" si="1"/>
        <v>15031.165411409427</v>
      </c>
      <c r="H18" s="23">
        <f t="shared" si="1"/>
        <v>3545.6218259592838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7.9507725168963886E-3</v>
      </c>
      <c r="H50" s="321">
        <f t="shared" si="2"/>
        <v>0</v>
      </c>
      <c r="I50" s="321">
        <f t="shared" si="2"/>
        <v>0</v>
      </c>
      <c r="J50" s="321">
        <f t="shared" si="2"/>
        <v>0</v>
      </c>
      <c r="K50" s="321">
        <f t="shared" si="2"/>
        <v>0</v>
      </c>
      <c r="L50" s="321">
        <f t="shared" si="2"/>
        <v>0</v>
      </c>
      <c r="M50" s="321">
        <f t="shared" si="2"/>
        <v>4.515687796671227E-4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7.9507725168963886E-3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4.515687796671227E-4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2208.5479213601079</v>
      </c>
      <c r="H54" s="21">
        <f t="shared" si="3"/>
        <v>0</v>
      </c>
      <c r="I54" s="21">
        <f t="shared" si="3"/>
        <v>0</v>
      </c>
      <c r="J54" s="21">
        <f t="shared" si="3"/>
        <v>0</v>
      </c>
      <c r="K54" s="21">
        <f t="shared" si="3"/>
        <v>0</v>
      </c>
      <c r="L54" s="21">
        <f t="shared" si="3"/>
        <v>0</v>
      </c>
      <c r="M54" s="21">
        <f t="shared" si="3"/>
        <v>125.4357721297563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0.20701805493011954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589.68229500314885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5458.0681394820822</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5458.0681394820822</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2018-09-06T12:45:49Z</dcterms:modified>
</cp:coreProperties>
</file>