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J20" i="15"/>
  <c r="K36"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49"/>
  <c r="F22" i="16"/>
  <c r="G39" i="14" s="1"/>
  <c r="G41" s="1"/>
  <c r="F8" i="48"/>
  <c r="Q4"/>
  <c r="N22"/>
  <c r="R11" i="14"/>
  <c r="J21" i="48"/>
  <c r="R10" i="14"/>
  <c r="C17" i="19" l="1"/>
  <c r="C19" s="1"/>
  <c r="D35" i="14" s="1"/>
  <c r="C29" i="20"/>
  <c r="C56" i="22"/>
  <c r="C58" s="1"/>
  <c r="D44" i="14" s="1"/>
  <c r="D46" s="1"/>
  <c r="C10" i="17"/>
  <c r="C12" s="1"/>
  <c r="D48" i="14" s="1"/>
  <c r="Q5" i="48"/>
  <c r="C16" i="22"/>
  <c r="O13" i="14"/>
  <c r="O15" s="1"/>
  <c r="C10" i="13"/>
  <c r="C16" i="48" s="1"/>
  <c r="C30" s="1"/>
  <c r="F41" i="14"/>
  <c r="F53" s="1"/>
  <c r="N22" i="16"/>
  <c r="O39" i="14" s="1"/>
  <c r="O41" s="1"/>
  <c r="O53" s="1"/>
  <c r="E8" i="48"/>
  <c r="E25" s="1"/>
  <c r="E31" s="1"/>
  <c r="F13" i="14"/>
  <c r="F15" s="1"/>
  <c r="F23"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C23" i="48"/>
  <c r="C27"/>
  <c r="C28"/>
  <c r="C22"/>
  <c r="C25"/>
  <c r="C29"/>
  <c r="C21"/>
  <c r="C26"/>
  <c r="F25"/>
  <c r="F31" s="1"/>
  <c r="F14"/>
  <c r="D41" i="14" l="1"/>
  <c r="D53" s="1"/>
  <c r="D55" s="1"/>
  <c r="R13"/>
  <c r="R15" s="1"/>
  <c r="R23" s="1"/>
  <c r="C24" i="48"/>
  <c r="E14"/>
  <c r="F55" i="14"/>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<sst xmlns="http://schemas.openxmlformats.org/spreadsheetml/2006/main" count="1949" uniqueCount="828">
  <si>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</si>
  <si>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</si>
  <si>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</si>
  <si>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</si>
  <si>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</si>
  <si>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</si>
  <si>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</si>
  <si>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</si>
  <si>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</si>
  <si>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</si>
  <si>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</si>
  <si>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</si>
  <si>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</si>
  <si>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</si>
  <si>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</si>
  <si>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</si>
  <si>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</si>
  <si>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</si>
  <si>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</si>
  <si>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</si>
  <si>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</si>
  <si>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</si>
  <si>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</si>
  <si>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</si>
  <si>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</si>
  <si>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</si>
  <si>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</si>
  <si>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</si>
  <si>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</si>
  <si>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</si>
  <si>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</si>
  <si>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</si>
  <si>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</si>
  <si>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</si>
  <si>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</si>
  <si>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</si>
  <si>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</si>
  <si>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</si>
  <si>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</si>
  <si>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</si>
  <si>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</si>
  <si>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</si>
  <si>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</si>
  <si>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</si>
  <si>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</si>
  <si>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</si>
  <si>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</si>
  <si>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</si>
  <si>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</si>
  <si>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</si>
  <si>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</si>
  <si>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</si>
  <si>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</si>
  <si>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</si>
  <si>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</si>
  <si>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</si>
  <si>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</si>
  <si>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</si>
  <si>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</si>
  <si>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</si>
  <si>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</si>
  <si>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</si>
  <si>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</si>
  <si>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</si>
  <si>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</si>
  <si>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</si>
  <si>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</si>
  <si>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</si>
  <si>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</si>
  <si>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</si>
  <si>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</si>
  <si>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</si>
  <si>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</si>
  <si>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</si>
  <si>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</si>
  <si>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</si>
  <si>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</si>
  <si>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</si>
  <si>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</si>
  <si>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</si>
  <si>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</si>
  <si>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</si>
  <si>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</si>
  <si>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</si>
  <si>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</si>
  <si>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</si>
  <si>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</si>
  <si>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</si>
  <si>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</si>
  <si>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</si>
  <si>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</si>
  <si>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</si>
  <si>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</si>
  <si>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</si>
  <si>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</si>
  <si>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</si>
  <si>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</si>
  <si>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</si>
  <si>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</si>
  <si>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</si>
  <si>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</si>
  <si>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</si>
  <si>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</si>
  <si>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</si>
  <si>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</si>
  <si>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</si>
  <si>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</si>
  <si>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</si>
  <si>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</si>
  <si>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</si>
  <si>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</si>
  <si>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</si>
  <si>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</si>
  <si>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</si>
  <si>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</si>
  <si>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</si>
  <si>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</si>
  <si>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</si>
  <si>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</si>
  <si>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</si>
  <si>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</si>
  <si>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</si>
  <si>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</si>
  <si>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</si>
  <si>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</si>
  <si>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</si>
  <si>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</si>
  <si>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</si>
  <si>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</si>
  <si>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</si>
  <si>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</si>
  <si>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</si>
  <si>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</si>
  <si>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</si>
  <si>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</si>
  <si>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</si>
  <si>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</si>
  <si>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</si>
  <si>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</si>
  <si>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</si>
  <si>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</si>
  <si>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</si>
  <si>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</si>
  <si>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</si>
  <si>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</si>
  <si>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</si>
  <si>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</si>
  <si>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</si>
  <si>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</si>
  <si>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</si>
  <si>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</si>
  <si>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</si>
  <si>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</si>
  <si>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</si>
  <si>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</si>
  <si>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</si>
  <si>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</si>
  <si>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</si>
  <si>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</si>
  <si>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</si>
  <si>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</si>
  <si>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</si>
  <si>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</si>
  <si>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</si>
  <si>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</si>
  <si>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</si>
  <si>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</si>
  <si>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</si>
  <si>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</si>
  <si>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</si>
  <si>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</si>
  <si>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</si>
  <si>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</si>
  <si>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</si>
  <si>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</si>
  <si>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</si>
  <si>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</si>
  <si>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</si>
  <si>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</si>
  <si>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</si>
  <si>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</si>
  <si>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</si>
  <si>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</si>
  <si>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</si>
  <si>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</si>
  <si>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</si>
  <si>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</si>
  <si>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</si>
  <si>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</si>
  <si>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</si>
  <si>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</si>
  <si>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</si>
  <si>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</si>
  <si>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</si>
  <si>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</si>
  <si>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</si>
  <si>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</si>
  <si>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</si>
  <si>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</si>
  <si>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</si>
  <si>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</si>
  <si>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</si>
  <si>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</si>
  <si>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</si>
  <si>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</si>
  <si>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</si>
  <si>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</si>
  <si>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</si>
  <si>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</si>
  <si>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</si>
  <si>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</si>
  <si>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</si>
  <si>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</si>
  <si>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</si>
  <si>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</si>
  <si>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</si>
  <si>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</si>
  <si>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</si>
  <si>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</si>
  <si>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</si>
  <si>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</si>
  <si>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</si>
  <si>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</si>
  <si>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</si>
  <si>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</si>
  <si>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</si>
  <si>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</si>
  <si>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</si>
  <si>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</si>
  <si>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</si>
  <si>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</si>
  <si>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</si>
  <si>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</si>
  <si>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</si>
  <si>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</si>
  <si>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</si>
  <si>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</si>
  <si>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</si>
  <si>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</si>
  <si>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</si>
  <si>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</si>
  <si>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</si>
  <si>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</si>
  <si>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</si>
  <si>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</si>
  <si>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</si>
  <si>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</si>
  <si>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</si>
  <si>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</si>
  <si>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</si>
  <si>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</si>
  <si>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</si>
  <si>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</si>
  <si>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</si>
  <si>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</si>
  <si>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</si>
  <si>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</si>
  <si>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</si>
  <si>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</si>
  <si>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</si>
  <si>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</si>
  <si>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</si>
  <si>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</si>
  <si>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</si>
  <si>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</si>
  <si>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</si>
  <si>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</si>
  <si>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</si>
  <si>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</si>
  <si>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</si>
  <si>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</si>
  <si>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</si>
  <si>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</si>
  <si>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</si>
  <si>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</si>
  <si>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</si>
  <si>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</si>
  <si>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</si>
  <si>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</si>
  <si>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</si>
  <si>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</si>
  <si>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</si>
  <si>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</si>
  <si>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</si>
  <si>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</si>
  <si>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</si>
  <si>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</si>
  <si>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</si>
  <si>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</si>
  <si>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</si>
  <si>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</si>
  <si>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</si>
  <si>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</si>
  <si>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</si>
  <si>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</si>
  <si>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</si>
  <si>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</si>
  <si>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</si>
  <si>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</si>
  <si>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</si>
  <si>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</si>
  <si>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</si>
  <si>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</si>
  <si>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</si>
  <si>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</si>
  <si>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</si>
  <si>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</si>
  <si>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</si>
  <si>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</si>
  <si>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</si>
  <si>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</si>
  <si>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</si>
  <si>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</si>
  <si>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</si>
  <si>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</si>
  <si>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</si>
  <si>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</si>
  <si>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</si>
  <si>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</si>
  <si>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</si>
  <si>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</si>
  <si>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</si>
  <si>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</si>
  <si>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</si>
  <si>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</si>
  <si>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</si>
  <si>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</si>
  <si>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</si>
  <si>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</si>
  <si>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</si>
  <si>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</si>
  <si>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</si>
  <si>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</si>
  <si>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</si>
  <si>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</si>
  <si>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</si>
  <si>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</si>
  <si>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</si>
  <si>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</si>
  <si>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</si>
  <si>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</si>
  <si>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</si>
  <si>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</si>
  <si>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</si>
  <si>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</si>
  <si>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</si>
  <si>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</si>
  <si>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</si>
  <si>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</si>
  <si>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</si>
  <si>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</si>
  <si>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</si>
  <si>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</si>
  <si>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</si>
  <si>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</si>
  <si>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</si>
  <si>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</si>
  <si>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</si>
  <si>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</si>
  <si>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</si>
  <si>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</si>
  <si>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</si>
  <si>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</si>
  <si>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</si>
  <si>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</si>
  <si>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</si>
  <si>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</si>
  <si>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</si>
  <si>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</si>
  <si>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</si>
  <si>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</si>
  <si>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</si>
  <si>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</si>
  <si>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</si>
  <si>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</si>
  <si>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</si>
  <si>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</si>
  <si>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</si>
  <si>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</si>
  <si>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</si>
  <si>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</si>
  <si>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</si>
  <si>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</si>
  <si>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</si>
  <si>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</si>
  <si>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</si>
  <si>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</si>
  <si>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</si>
  <si>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</si>
  <si>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</si>
  <si>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</si>
  <si>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</si>
  <si>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</si>
  <si>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</si>
  <si>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</si>
  <si>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</si>
  <si>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</si>
  <si>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</si>
  <si>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</si>
  <si>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</si>
  <si>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</si>
  <si>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</si>
  <si>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</si>
  <si>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</si>
  <si>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</si>
  <si>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</si>
  <si>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</si>
  <si>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</si>
  <si>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</si>
  <si>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</si>
  <si>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</si>
  <si>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</si>
  <si>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</si>
  <si>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</si>
  <si>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</si>
  <si>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</si>
  <si>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</si>
  <si>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</si>
  <si>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</si>
  <si>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</si>
  <si>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</si>
  <si>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</si>
  <si>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</si>
  <si>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</si>
  <si>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</si>
  <si>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</si>
  <si>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</si>
  <si>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</si>
  <si>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</si>
  <si>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</si>
  <si>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</si>
  <si>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</si>
  <si>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</si>
  <si>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</si>
  <si>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</si>
  <si>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</si>
  <si>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</si>
  <si>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</si>
  <si>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</si>
  <si>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</si>
  <si>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</si>
  <si>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</si>
  <si>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</si>
  <si>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</si>
  <si>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</si>
  <si>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</si>
  <si>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</si>
  <si>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</si>
  <si>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</si>
  <si>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</si>
  <si>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</si>
  <si>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</si>
  <si>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</si>
  <si>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</si>
  <si>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</si>
  <si>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</si>
  <si>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</si>
  <si>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</si>
  <si>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</si>
  <si>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</si>
  <si>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</si>
  <si>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</si>
  <si>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</si>
  <si>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</si>
  <si>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</si>
  <si>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</si>
  <si>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</si>
  <si>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</si>
  <si>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</si>
  <si>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</si>
  <si>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</si>
  <si>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</si>
  <si>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</si>
  <si>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</si>
  <si>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</si>
  <si>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</si>
  <si>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</si>
  <si>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</si>
  <si>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</si>
  <si>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</si>
  <si>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</si>
  <si>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</si>
  <si>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</si>
  <si>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</si>
  <si>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</si>
  <si>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</si>
  <si>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</si>
  <si>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</si>
  <si>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</si>
  <si>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</si>
  <si>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</si>
  <si>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</si>
  <si>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</si>
  <si>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</si>
  <si>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</si>
  <si>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</si>
  <si>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</si>
  <si>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</si>
  <si>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</si>
  <si>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</si>
  <si>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</si>
  <si>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</si>
  <si>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</si>
  <si>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</si>
  <si>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</si>
  <si>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</si>
  <si>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</si>
  <si>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</si>
  <si>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</si>
  <si>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</si>
  <si>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</si>
  <si>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</si>
  <si>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</si>
  <si>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</si>
  <si>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</si>
  <si>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</si>
  <si>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</si>
  <si>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</si>
  <si>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</si>
  <si>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</si>
  <si>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</si>
  <si>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</si>
  <si>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</si>
  <si>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</si>
  <si>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</si>
  <si>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</si>
  <si>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</si>
  <si>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</si>
  <si>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</si>
  <si>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</si>
  <si>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</si>
  <si>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</si>
  <si>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</si>
  <si>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</si>
  <si>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</si>
  <si>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</si>
  <si>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</si>
  <si>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</si>
  <si>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</si>
  <si>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</si>
  <si>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</si>
  <si>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</si>
  <si>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</si>
  <si>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</si>
  <si>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</si>
  <si>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</si>
  <si>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</si>
  <si>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</si>
  <si>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</si>
  <si>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</si>
  <si>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</si>
  <si>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</si>
  <si>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</si>
  <si>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</si>
  <si>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</si>
  <si>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</si>
  <si>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</si>
  <si>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</si>
  <si>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</si>
  <si>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</si>
  <si>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</si>
  <si>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</si>
  <si>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</si>
  <si>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</si>
  <si>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</si>
  <si>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</si>
  <si>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</si>
  <si>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</si>
  <si>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</si>
  <si>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</si>
  <si>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</si>
  <si>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</si>
  <si>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</si>
  <si>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</si>
  <si>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</si>
  <si>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</si>
  <si>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</si>
  <si>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</si>
  <si>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</si>
  <si>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</si>
  <si>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</si>
  <si>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</si>
  <si>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</si>
  <si>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</si>
  <si>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</si>
  <si>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</si>
  <si>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</si>
  <si>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</si>
  <si>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</si>
  <si>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</si>
  <si>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</si>
  <si>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</si>
  <si>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</si>
  <si>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</si>
  <si>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</si>
  <si>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</si>
  <si>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</si>
  <si>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</si>
  <si>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</si>
  <si>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</si>
  <si>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</si>
  <si>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</si>
  <si>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</si>
  <si>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</si>
  <si>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</si>
  <si>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</si>
  <si>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</si>
  <si>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</si>
  <si>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</si>
  <si>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</si>
  <si>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</si>
  <si>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</si>
  <si>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</si>
  <si>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</si>
  <si>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</si>
  <si>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</si>
  <si>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</si>
  <si>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</si>
  <si>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</si>
  <si>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</si>
  <si>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</si>
  <si>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</si>
  <si>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</si>
  <si>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</si>
  <si>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</si>
  <si>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</si>
  <si>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</si>
  <si>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</si>
  <si>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</si>
  <si>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</si>
  <si>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</si>
  <si>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</si>
  <si>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</si>
  <si>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</si>
  <si>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</si>
  <si>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</si>
  <si>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</si>
  <si>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</si>
  <si>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</si>
  <si>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</si>
  <si>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</si>
  <si>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</si>
  <si>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</si>
  <si>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</si>
  <si>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</si>
  <si>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</si>
  <si>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</si>
  <si>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</si>
  <si>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</si>
  <si>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</si>
  <si>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</si>
  <si>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</si>
  <si>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</si>
  <si>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</si>
  <si>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</si>
  <si>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</si>
  <si>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</si>
  <si>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</si>
  <si>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</si>
  <si>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</si>
  <si>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</si>
  <si>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</si>
  <si>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</si>
  <si>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</si>
  <si>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</si>
  <si>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</si>
  <si>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</si>
  <si>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</si>
  <si>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</si>
  <si>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</si>
  <si>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</si>
  <si>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</si>
  <si>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</si>
  <si>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</si>
  <si>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</si>
  <si>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</si>
  <si>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</si>
  <si>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</si>
  <si>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</si>
  <si>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</si>
  <si>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</si>
  <si>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</si>
  <si>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</si>
  <si>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</si>
  <si>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</si>
  <si>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</si>
  <si>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</si>
  <si>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</si>
  <si>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</si>
  <si>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</si>
  <si>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</si>
  <si>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</si>
  <si>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</si>
  <si>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</si>
  <si>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</si>
  <si>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</si>
  <si>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</si>
  <si>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</si>
  <si>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</si>
  <si>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</si>
  <si>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</si>
  <si>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</si>
  <si>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</si>
  <si>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</si>
  <si>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</si>
  <si>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</si>
  <si>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</si>
  <si>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</si>
  <si>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</si>
  <si>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</si>
  <si>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</si>
  <si>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</si>
  <si>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</si>
  <si>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</si>
  <si>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</si>
  <si>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</si>
  <si>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</si>
  <si>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</si>
  <si>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</si>
  <si>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</si>
  <si>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</si>
  <si>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</si>
  <si>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</si>
  <si>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</si>
  <si>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</si>
  <si>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</si>
  <si>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</si>
  <si>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</si>
  <si>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</si>
  <si>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</si>
  <si>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</si>
  <si>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</si>
  <si>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</si>
  <si>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</si>
  <si>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</si>
  <si>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</si>
  <si>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</si>
  <si>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</si>
  <si>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</si>
  <si>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</si>
  <si>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</si>
  <si>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</si>
  <si>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</si>
  <si>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</si>
  <si>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</si>
  <si>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</si>
  <si>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</si>
  <si>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</si>
  <si>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</si>
  <si>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</si>
  <si>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</si>
  <si>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</si>
  <si>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</si>
  <si>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</si>
  <si>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</si>
  <si>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</si>
  <si>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</si>
  <si>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</si>
  <si>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</si>
  <si>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</si>
  <si>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</si>
  <si>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</si>
  <si>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</si>
  <si>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</si>
  <si>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</si>
  <si>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</si>
  <si>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</si>
  <si>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</si>
  <si>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</si>
  <si>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</si>
  <si>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</si>
  <si>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</si>
  <si>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</si>
  <si>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</si>
  <si>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</si>
  <si>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</si>
  <si>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</si>
  <si>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</si>
  <si>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</si>
  <si>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</si>
  <si>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</si>
  <si>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</si>
  <si>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</si>
  <si>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</si>
  <si>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</si>
  <si>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</si>
  <si>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</si>
  <si>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</si>
  <si>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</si>
  <si>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</si>
  <si>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</si>
  <si>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</si>
  <si>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</si>
  <si>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</si>
  <si>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</si>
  <si>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</si>
  <si>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</si>
  <si>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</si>
  <si>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</si>
  <si>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</si>
  <si>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</si>
  <si>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11022</t>
  </si>
  <si>
    <t>KALMTHOUT</t>
  </si>
  <si>
    <t>Eandis (januari 2018); Infrax (juni 2018)</t>
  </si>
  <si>
    <t>MOW (september 2017)</t>
  </si>
  <si>
    <t>referentietaak LNE (2017); Jaarverslag De Lijn (2016)</t>
  </si>
  <si>
    <t>VEA (april 2018)</t>
  </si>
  <si>
    <t>VEA (januari 2017)</t>
  </si>
  <si>
    <t>VEA (juni 2018)</t>
  </si>
  <si>
    <t>Power Energy Kalmthout bvba</t>
  </si>
  <si>
    <t>Kruisbos 12, 2920 Kalmthout</t>
  </si>
  <si>
    <t>WKK-0046 WKK Power Energy Kalmthout</t>
  </si>
  <si>
    <t>interne verbrandingsmotor</t>
  </si>
  <si>
    <t>WKK interne verbrandinsgmotor (gas)</t>
  </si>
  <si>
    <t>IVEKA</t>
  </si>
  <si>
    <t>Paul Van Dyck</t>
  </si>
  <si>
    <t>Nieuwmoer-Dorp 14 , 2920 Kalmthout</t>
  </si>
  <si>
    <t>WKK-0467 Paul Van Dyck</t>
  </si>
  <si>
    <t>stirlingmotor</t>
  </si>
  <si>
    <t>Biolectric nv</t>
  </si>
  <si>
    <t>Jan de Malschelaan 4 B, 9140 Temse</t>
  </si>
  <si>
    <t>WKK-0478 Wim Verbreuken</t>
  </si>
  <si>
    <t>Roosendaalsebaan 140 A, 2920 Kalmthout</t>
  </si>
  <si>
    <t>Power Roses</t>
  </si>
  <si>
    <t>WKK-0788</t>
  </si>
  <si>
    <t>Interne verbrandingsmotor</t>
  </si>
  <si>
    <t>Kruisbos 12, 2920 Kalmthout, BE</t>
  </si>
  <si>
    <t>IVEKA (via EANDIS)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</si>
</sst>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160918.61906404721</c:v>
                </c:pt>
                <c:pt idx="1">
                  <c:v>53635.303427573555</c:v>
                </c:pt>
                <c:pt idx="2">
                  <c:v>1100.502</c:v>
                </c:pt>
                <c:pt idx="3">
                  <c:v>38954.440159606689</c:v>
                </c:pt>
                <c:pt idx="4">
                  <c:v>39494.101988405819</c:v>
                </c:pt>
                <c:pt idx="5">
                  <c:v>76510.438404074841</c:v>
                </c:pt>
                <c:pt idx="6">
                  <c:v>954.70951187065589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00736"/>
        <c:axId val="182584448"/>
      </c:barChart>
      <c:catAx>
        <c:axId val="182500736"/>
        <c:scaling>
          <c:orientation val="minMax"/>
        </c:scaling>
        <c:axPos val="b"/>
        <c:numFmt formatCode="General" sourceLinked="0"/>
        <c:tickLblPos val="nextTo"/>
        <c:crossAx val="182584448"/>
        <c:crosses val="autoZero"/>
        <c:auto val="1"/>
        <c:lblAlgn val="ctr"/>
        <c:lblOffset val="100"/>
      </c:catAx>
      <c:valAx>
        <c:axId val="182584448"/>
        <c:scaling>
          <c:orientation val="minMax"/>
        </c:scaling>
        <c:axPos val="l"/>
        <c:majorGridlines/>
        <c:numFmt formatCode="#,##0" sourceLinked="1"/>
        <c:tickLblPos val="nextTo"/>
        <c:crossAx val="1825007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160918.61906404721</c:v>
                </c:pt>
                <c:pt idx="1">
                  <c:v>53635.303427573555</c:v>
                </c:pt>
                <c:pt idx="2">
                  <c:v>1100.502</c:v>
                </c:pt>
                <c:pt idx="3">
                  <c:v>38954.440159606689</c:v>
                </c:pt>
                <c:pt idx="4">
                  <c:v>39494.101988405819</c:v>
                </c:pt>
                <c:pt idx="5">
                  <c:v>76510.438404074841</c:v>
                </c:pt>
                <c:pt idx="6">
                  <c:v>954.70951187065589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27695.968066342568</c:v>
                </c:pt>
                <c:pt idx="1">
                  <c:v>10062.855465074719</c:v>
                </c:pt>
                <c:pt idx="2">
                  <c:v>193.34842107650661</c:v>
                </c:pt>
                <c:pt idx="3">
                  <c:v>9157.664990132178</c:v>
                </c:pt>
                <c:pt idx="4">
                  <c:v>7137.201698648817</c:v>
                </c:pt>
                <c:pt idx="5">
                  <c:v>19134.775437295488</c:v>
                </c:pt>
                <c:pt idx="6">
                  <c:v>241.20789600695176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36160"/>
        <c:axId val="183099392"/>
      </c:barChart>
      <c:catAx>
        <c:axId val="183036160"/>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3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27695.968066342568</c:v>
                </c:pt>
                <c:pt idx="1">
                  <c:v>10062.855465074719</c:v>
                </c:pt>
                <c:pt idx="2">
                  <c:v>193.34842107650661</c:v>
                </c:pt>
                <c:pt idx="3">
                  <c:v>9157.664990132178</c:v>
                </c:pt>
                <c:pt idx="4">
                  <c:v>7137.201698648817</c:v>
                </c:pt>
                <c:pt idx="5">
                  <c:v>19134.775437295488</c:v>
                </c:pt>
                <c:pt idx="6">
                  <c:v>241.20789600695176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11022</v>
      </c>
      <c r="B6" s="415"/>
      <c r="C6" s="416"/>
    </row>
    <row r="7" spans="1:7" s="413" customFormat="1" ht="15.75" customHeight="1">
      <c r="A7" s="417" t="str">
        <f>txtMunicipality</f>
        <v>KALMTHOUT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7356</v>
      </c>
      <c r="C9" s="342">
        <v>7223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2542.84</v>
      </c>
    </row>
    <row r="15" spans="1:6">
      <c r="A15" s="348" t="s">
        <v>184</v>
      </c>
      <c r="B15" s="334">
        <v>568</v>
      </c>
    </row>
    <row r="16" spans="1:6">
      <c r="A16" s="348" t="s">
        <v>6</v>
      </c>
      <c r="B16" s="334">
        <v>3960</v>
      </c>
    </row>
    <row r="17" spans="1:6">
      <c r="A17" s="348" t="s">
        <v>7</v>
      </c>
      <c r="B17" s="334">
        <v>147</v>
      </c>
    </row>
    <row r="18" spans="1:6">
      <c r="A18" s="348" t="s">
        <v>8</v>
      </c>
      <c r="B18" s="334">
        <v>1988</v>
      </c>
    </row>
    <row r="19" spans="1:6">
      <c r="A19" s="348" t="s">
        <v>9</v>
      </c>
      <c r="B19" s="334">
        <v>1756</v>
      </c>
    </row>
    <row r="20" spans="1:6">
      <c r="A20" s="348" t="s">
        <v>10</v>
      </c>
      <c r="B20" s="334">
        <v>627</v>
      </c>
    </row>
    <row r="21" spans="1:6">
      <c r="A21" s="348" t="s">
        <v>11</v>
      </c>
      <c r="B21" s="334">
        <v>7298</v>
      </c>
    </row>
    <row r="22" spans="1:6">
      <c r="A22" s="348" t="s">
        <v>12</v>
      </c>
      <c r="B22" s="334">
        <v>21294</v>
      </c>
    </row>
    <row r="23" spans="1:6">
      <c r="A23" s="348" t="s">
        <v>13</v>
      </c>
      <c r="B23" s="334">
        <v>401</v>
      </c>
    </row>
    <row r="24" spans="1:6">
      <c r="A24" s="348" t="s">
        <v>14</v>
      </c>
      <c r="B24" s="334">
        <v>15</v>
      </c>
    </row>
    <row r="25" spans="1:6">
      <c r="A25" s="348" t="s">
        <v>15</v>
      </c>
      <c r="B25" s="334">
        <v>1262</v>
      </c>
    </row>
    <row r="26" spans="1:6">
      <c r="A26" s="348" t="s">
        <v>16</v>
      </c>
      <c r="B26" s="334">
        <v>18</v>
      </c>
    </row>
    <row r="27" spans="1:6">
      <c r="A27" s="348" t="s">
        <v>17</v>
      </c>
      <c r="B27" s="334">
        <v>456</v>
      </c>
    </row>
    <row r="28" spans="1:6" s="356" customFormat="1">
      <c r="A28" s="355" t="s">
        <v>18</v>
      </c>
      <c r="B28" s="355">
        <v>212807</v>
      </c>
    </row>
    <row r="29" spans="1:6">
      <c r="A29" s="355" t="s">
        <v>744</v>
      </c>
      <c r="B29" s="355">
        <v>258</v>
      </c>
      <c r="C29" s="356"/>
      <c r="D29" s="356"/>
      <c r="E29" s="356"/>
      <c r="F29" s="356"/>
    </row>
    <row r="30" spans="1:6">
      <c r="A30" s="341" t="s">
        <v>745</v>
      </c>
      <c r="B30" s="341">
        <v>58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36527.634262243097</v>
      </c>
    </row>
    <row r="37" spans="1:6">
      <c r="A37" s="348" t="s">
        <v>25</v>
      </c>
      <c r="B37" s="348" t="s">
        <v>28</v>
      </c>
      <c r="C37" s="334">
        <v>0</v>
      </c>
      <c r="D37" s="334">
        <v>0</v>
      </c>
      <c r="E37" s="334">
        <v>0</v>
      </c>
      <c r="F37" s="334">
        <v>0</v>
      </c>
    </row>
    <row r="38" spans="1:6">
      <c r="A38" s="348" t="s">
        <v>25</v>
      </c>
      <c r="B38" s="348" t="s">
        <v>29</v>
      </c>
      <c r="C38" s="334">
        <v>2</v>
      </c>
      <c r="D38" s="334">
        <v>280003.436796783</v>
      </c>
      <c r="E38" s="334">
        <v>5</v>
      </c>
      <c r="F38" s="334">
        <v>156855.50761022</v>
      </c>
    </row>
    <row r="39" spans="1:6">
      <c r="A39" s="348" t="s">
        <v>30</v>
      </c>
      <c r="B39" s="348" t="s">
        <v>31</v>
      </c>
      <c r="C39" s="334">
        <v>5521</v>
      </c>
      <c r="D39" s="334">
        <v>115401605.103003</v>
      </c>
      <c r="E39" s="334">
        <v>7119</v>
      </c>
      <c r="F39" s="334">
        <v>30619839.091768801</v>
      </c>
    </row>
    <row r="40" spans="1:6">
      <c r="A40" s="348" t="s">
        <v>30</v>
      </c>
      <c r="B40" s="348" t="s">
        <v>29</v>
      </c>
      <c r="C40" s="334">
        <v>0</v>
      </c>
      <c r="D40" s="334">
        <v>0</v>
      </c>
      <c r="E40" s="334">
        <v>0</v>
      </c>
      <c r="F40" s="334">
        <v>0</v>
      </c>
    </row>
    <row r="41" spans="1:6">
      <c r="A41" s="348" t="s">
        <v>32</v>
      </c>
      <c r="B41" s="348" t="s">
        <v>33</v>
      </c>
      <c r="C41" s="334">
        <v>88</v>
      </c>
      <c r="D41" s="334">
        <v>2123843.2783841002</v>
      </c>
      <c r="E41" s="334">
        <v>172</v>
      </c>
      <c r="F41" s="334">
        <v>1437849.7408892501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130569.631273336</v>
      </c>
      <c r="E44" s="334">
        <v>20</v>
      </c>
      <c r="F44" s="334">
        <v>876598.50029871904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119921.125396103</v>
      </c>
      <c r="E47" s="334">
        <v>7</v>
      </c>
      <c r="F47" s="334">
        <v>142182.29504572399</v>
      </c>
    </row>
    <row r="48" spans="1:6">
      <c r="A48" s="348" t="s">
        <v>32</v>
      </c>
      <c r="B48" s="348" t="s">
        <v>29</v>
      </c>
      <c r="C48" s="334">
        <v>37</v>
      </c>
      <c r="D48" s="334">
        <v>12050084.399230501</v>
      </c>
      <c r="E48" s="334">
        <v>34</v>
      </c>
      <c r="F48" s="334">
        <v>6234681.6517251497</v>
      </c>
    </row>
    <row r="49" spans="1:6">
      <c r="A49" s="348" t="s">
        <v>32</v>
      </c>
      <c r="B49" s="348" t="s">
        <v>40</v>
      </c>
      <c r="C49" s="334">
        <v>0</v>
      </c>
      <c r="D49" s="334">
        <v>0</v>
      </c>
      <c r="E49" s="334">
        <v>0</v>
      </c>
      <c r="F49" s="334">
        <v>0</v>
      </c>
    </row>
    <row r="50" spans="1:6">
      <c r="A50" s="348" t="s">
        <v>32</v>
      </c>
      <c r="B50" s="348" t="s">
        <v>41</v>
      </c>
      <c r="C50" s="334">
        <v>11</v>
      </c>
      <c r="D50" s="334">
        <v>1998742.5254949599</v>
      </c>
      <c r="E50" s="334">
        <v>18</v>
      </c>
      <c r="F50" s="334">
        <v>9181685.1884747092</v>
      </c>
    </row>
    <row r="51" spans="1:6">
      <c r="A51" s="348" t="s">
        <v>42</v>
      </c>
      <c r="B51" s="348" t="s">
        <v>43</v>
      </c>
      <c r="C51" s="334">
        <v>24</v>
      </c>
      <c r="D51" s="334">
        <v>740557.42350013996</v>
      </c>
      <c r="E51" s="334">
        <v>115</v>
      </c>
      <c r="F51" s="334">
        <v>3027898.54770779</v>
      </c>
    </row>
    <row r="52" spans="1:6">
      <c r="A52" s="348" t="s">
        <v>42</v>
      </c>
      <c r="B52" s="348" t="s">
        <v>29</v>
      </c>
      <c r="C52" s="334">
        <v>8</v>
      </c>
      <c r="D52" s="334">
        <v>35669665.929751404</v>
      </c>
      <c r="E52" s="334">
        <v>6</v>
      </c>
      <c r="F52" s="334">
        <v>112989.365205038</v>
      </c>
    </row>
    <row r="53" spans="1:6">
      <c r="A53" s="348" t="s">
        <v>44</v>
      </c>
      <c r="B53" s="348" t="s">
        <v>45</v>
      </c>
      <c r="C53" s="334">
        <v>115</v>
      </c>
      <c r="D53" s="334">
        <v>2474145.9860816901</v>
      </c>
      <c r="E53" s="334">
        <v>241</v>
      </c>
      <c r="F53" s="334">
        <v>1747822.1937185</v>
      </c>
    </row>
    <row r="54" spans="1:6">
      <c r="A54" s="348" t="s">
        <v>46</v>
      </c>
      <c r="B54" s="348" t="s">
        <v>47</v>
      </c>
      <c r="C54" s="334">
        <v>0</v>
      </c>
      <c r="D54" s="334">
        <v>0</v>
      </c>
      <c r="E54" s="334">
        <v>1</v>
      </c>
      <c r="F54" s="334">
        <v>1100502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48</v>
      </c>
      <c r="D57" s="334">
        <v>3734157.60080704</v>
      </c>
      <c r="E57" s="334">
        <v>81</v>
      </c>
      <c r="F57" s="334">
        <v>2703964.3273447198</v>
      </c>
    </row>
    <row r="58" spans="1:6">
      <c r="A58" s="348" t="s">
        <v>49</v>
      </c>
      <c r="B58" s="348" t="s">
        <v>51</v>
      </c>
      <c r="C58" s="334">
        <v>29</v>
      </c>
      <c r="D58" s="334">
        <v>731686.82968804496</v>
      </c>
      <c r="E58" s="334">
        <v>36</v>
      </c>
      <c r="F58" s="334">
        <v>277856.67737627</v>
      </c>
    </row>
    <row r="59" spans="1:6">
      <c r="A59" s="348" t="s">
        <v>49</v>
      </c>
      <c r="B59" s="348" t="s">
        <v>52</v>
      </c>
      <c r="C59" s="334">
        <v>118</v>
      </c>
      <c r="D59" s="334">
        <v>4756183.9622842399</v>
      </c>
      <c r="E59" s="334">
        <v>213</v>
      </c>
      <c r="F59" s="334">
        <v>6121462.2945457101</v>
      </c>
    </row>
    <row r="60" spans="1:6">
      <c r="A60" s="348" t="s">
        <v>49</v>
      </c>
      <c r="B60" s="348" t="s">
        <v>53</v>
      </c>
      <c r="C60" s="334">
        <v>60</v>
      </c>
      <c r="D60" s="334">
        <v>2858275.6378568001</v>
      </c>
      <c r="E60" s="334">
        <v>74</v>
      </c>
      <c r="F60" s="334">
        <v>1679797.34486269</v>
      </c>
    </row>
    <row r="61" spans="1:6">
      <c r="A61" s="348" t="s">
        <v>49</v>
      </c>
      <c r="B61" s="348" t="s">
        <v>54</v>
      </c>
      <c r="C61" s="334">
        <v>222</v>
      </c>
      <c r="D61" s="334">
        <v>11422765.996634901</v>
      </c>
      <c r="E61" s="334">
        <v>394</v>
      </c>
      <c r="F61" s="334">
        <v>3655964.6104592099</v>
      </c>
    </row>
    <row r="62" spans="1:6">
      <c r="A62" s="348" t="s">
        <v>49</v>
      </c>
      <c r="B62" s="348" t="s">
        <v>55</v>
      </c>
      <c r="C62" s="334">
        <v>18</v>
      </c>
      <c r="D62" s="334">
        <v>3782216.9080883502</v>
      </c>
      <c r="E62" s="334">
        <v>18</v>
      </c>
      <c r="F62" s="334">
        <v>655554.88512404996</v>
      </c>
    </row>
    <row r="63" spans="1:6">
      <c r="A63" s="348" t="s">
        <v>49</v>
      </c>
      <c r="B63" s="348" t="s">
        <v>29</v>
      </c>
      <c r="C63" s="334">
        <v>115</v>
      </c>
      <c r="D63" s="334">
        <v>6074252.6757178102</v>
      </c>
      <c r="E63" s="334">
        <v>94</v>
      </c>
      <c r="F63" s="334">
        <v>2336120.7719413298</v>
      </c>
    </row>
    <row r="64" spans="1:6">
      <c r="A64" s="348" t="s">
        <v>56</v>
      </c>
      <c r="B64" s="348" t="s">
        <v>57</v>
      </c>
      <c r="C64" s="334">
        <v>0</v>
      </c>
      <c r="D64" s="334">
        <v>0</v>
      </c>
      <c r="E64" s="334">
        <v>0</v>
      </c>
      <c r="F64" s="334">
        <v>0</v>
      </c>
    </row>
    <row r="65" spans="1:6">
      <c r="A65" s="348" t="s">
        <v>56</v>
      </c>
      <c r="B65" s="348" t="s">
        <v>29</v>
      </c>
      <c r="C65" s="334">
        <v>4</v>
      </c>
      <c r="D65" s="334">
        <v>79950.878574605696</v>
      </c>
      <c r="E65" s="334">
        <v>3</v>
      </c>
      <c r="F65" s="334">
        <v>11952.5403243526</v>
      </c>
    </row>
    <row r="66" spans="1:6">
      <c r="A66" s="348" t="s">
        <v>56</v>
      </c>
      <c r="B66" s="348" t="s">
        <v>58</v>
      </c>
      <c r="C66" s="334">
        <v>3</v>
      </c>
      <c r="D66" s="334">
        <v>179452.76458754</v>
      </c>
      <c r="E66" s="334">
        <v>16</v>
      </c>
      <c r="F66" s="334">
        <v>94571.641381777401</v>
      </c>
    </row>
    <row r="67" spans="1:6">
      <c r="A67" s="355" t="s">
        <v>56</v>
      </c>
      <c r="B67" s="355" t="s">
        <v>59</v>
      </c>
      <c r="C67" s="334">
        <v>0</v>
      </c>
      <c r="D67" s="334">
        <v>0</v>
      </c>
      <c r="E67" s="334">
        <v>0</v>
      </c>
      <c r="F67" s="334">
        <v>0</v>
      </c>
    </row>
    <row r="68" spans="1:6">
      <c r="A68" s="341" t="s">
        <v>56</v>
      </c>
      <c r="B68" s="341" t="s">
        <v>60</v>
      </c>
      <c r="C68" s="334">
        <v>3</v>
      </c>
      <c r="D68" s="334">
        <v>96805.473039810604</v>
      </c>
      <c r="E68" s="334">
        <v>8</v>
      </c>
      <c r="F68" s="334">
        <v>154305.44122593501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76397587</v>
      </c>
      <c r="E73" s="476">
        <v>77604211.091920674</v>
      </c>
    </row>
    <row r="74" spans="1:6">
      <c r="A74" s="348" t="s">
        <v>64</v>
      </c>
      <c r="B74" s="348" t="s">
        <v>657</v>
      </c>
      <c r="C74" s="1213" t="s">
        <v>659</v>
      </c>
      <c r="D74" s="476">
        <v>5090286.4122769423</v>
      </c>
      <c r="E74" s="476">
        <v>5236336.1568123801</v>
      </c>
    </row>
    <row r="75" spans="1:6">
      <c r="A75" s="348" t="s">
        <v>65</v>
      </c>
      <c r="B75" s="348" t="s">
        <v>656</v>
      </c>
      <c r="C75" s="1213" t="s">
        <v>660</v>
      </c>
      <c r="D75" s="476">
        <v>16952748</v>
      </c>
      <c r="E75" s="476">
        <v>17211145.04554322</v>
      </c>
    </row>
    <row r="76" spans="1:6">
      <c r="A76" s="348" t="s">
        <v>65</v>
      </c>
      <c r="B76" s="348" t="s">
        <v>657</v>
      </c>
      <c r="C76" s="1213" t="s">
        <v>661</v>
      </c>
      <c r="D76" s="476">
        <v>664131.41227694217</v>
      </c>
      <c r="E76" s="476">
        <v>684521.36145321722</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258933.17544611567</v>
      </c>
      <c r="C83" s="476">
        <v>260072.80184118077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10592.474311393187</v>
      </c>
    </row>
    <row r="91" spans="1:6">
      <c r="A91" s="348" t="s">
        <v>68</v>
      </c>
      <c r="B91" s="334">
        <v>3701.6025202360388</v>
      </c>
    </row>
    <row r="92" spans="1:6">
      <c r="A92" s="341" t="s">
        <v>69</v>
      </c>
      <c r="B92" s="342">
        <v>1496.1336540389987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3771</v>
      </c>
    </row>
    <row r="98" spans="1:6">
      <c r="A98" s="348" t="s">
        <v>72</v>
      </c>
      <c r="B98" s="334">
        <v>6</v>
      </c>
    </row>
    <row r="99" spans="1:6">
      <c r="A99" s="348" t="s">
        <v>73</v>
      </c>
      <c r="B99" s="334">
        <v>60</v>
      </c>
    </row>
    <row r="100" spans="1:6">
      <c r="A100" s="348" t="s">
        <v>74</v>
      </c>
      <c r="B100" s="334">
        <v>624</v>
      </c>
    </row>
    <row r="101" spans="1:6">
      <c r="A101" s="348" t="s">
        <v>75</v>
      </c>
      <c r="B101" s="334">
        <v>113</v>
      </c>
    </row>
    <row r="102" spans="1:6">
      <c r="A102" s="348" t="s">
        <v>76</v>
      </c>
      <c r="B102" s="334">
        <v>88</v>
      </c>
    </row>
    <row r="103" spans="1:6">
      <c r="A103" s="348" t="s">
        <v>77</v>
      </c>
      <c r="B103" s="334">
        <v>105</v>
      </c>
    </row>
    <row r="104" spans="1:6">
      <c r="A104" s="348" t="s">
        <v>78</v>
      </c>
      <c r="B104" s="334">
        <v>1450</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52</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147</v>
      </c>
    </row>
    <row r="130" spans="1:6">
      <c r="A130" s="348" t="s">
        <v>295</v>
      </c>
      <c r="B130" s="334">
        <v>0</v>
      </c>
    </row>
    <row r="131" spans="1:6">
      <c r="A131" s="348" t="s">
        <v>296</v>
      </c>
      <c r="B131" s="334">
        <v>4</v>
      </c>
    </row>
    <row r="132" spans="1:6">
      <c r="A132" s="341" t="s">
        <v>297</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73903.274144107811</v>
      </c>
      <c r="C3" s="43" t="s">
        <v>170</v>
      </c>
      <c r="D3" s="43"/>
      <c r="E3" s="154"/>
      <c r="F3" s="43"/>
      <c r="G3" s="43"/>
      <c r="H3" s="43"/>
      <c r="I3" s="43"/>
      <c r="J3" s="43"/>
      <c r="K3" s="96"/>
    </row>
    <row r="4" spans="1:11">
      <c r="A4" s="383" t="s">
        <v>171</v>
      </c>
      <c r="B4" s="49">
        <f>IF(ISERROR('SEAP template'!B69),0,'SEAP template'!B69)</f>
        <v>24901.360485668221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2154.7255593135701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0.17569111285259512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3081.9801549721442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13031.999999999998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0.23649325928269987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1100.502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1100.502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0.17569111285259512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193.34842107650661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30619.839091768801</v>
      </c>
      <c r="C5" s="17">
        <f>IF(ISERROR('Eigen informatie GS &amp; warmtenet'!B57),0,'Eigen informatie GS &amp; warmtenet'!B57)</f>
        <v>0</v>
      </c>
      <c r="D5" s="30">
        <f>(SUM(HH_hh_gas_kWh,HH_rest_gas_kWh)/1000)*0.902</f>
        <v>104092.24780290871</v>
      </c>
      <c r="E5" s="17">
        <f>B46*B57</f>
        <v>2816.5715358436714</v>
      </c>
      <c r="F5" s="17">
        <f>B51*B62</f>
        <v>0</v>
      </c>
      <c r="G5" s="18"/>
      <c r="H5" s="17"/>
      <c r="I5" s="17"/>
      <c r="J5" s="17">
        <f>B50*B61+C50*C61</f>
        <v>0</v>
      </c>
      <c r="K5" s="17"/>
      <c r="L5" s="17"/>
      <c r="M5" s="17"/>
      <c r="N5" s="17">
        <f>B48*B59+C48*C59</f>
        <v>18077.594779956675</v>
      </c>
      <c r="O5" s="17">
        <f>B69*B70*B71</f>
        <v>314.23</v>
      </c>
      <c r="P5" s="17">
        <f>B77*B78*B79/1000-B77*B78*B79/1000/B80</f>
        <v>1296.5333333333333</v>
      </c>
    </row>
    <row r="6" spans="1:16">
      <c r="A6" s="16" t="s">
        <v>621</v>
      </c>
      <c r="B6" s="843">
        <f>kWh_PV_kleiner_dan_10kW</f>
        <v>3701.6025202360388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34321.441612004841</v>
      </c>
      <c r="C8" s="21">
        <f>C5</f>
        <v>0</v>
      </c>
      <c r="D8" s="21">
        <f>D5</f>
        <v>104092.24780290871</v>
      </c>
      <c r="E8" s="21">
        <f>E5</f>
        <v>2816.5715358436714</v>
      </c>
      <c r="F8" s="21">
        <f>F5</f>
        <v>0</v>
      </c>
      <c r="G8" s="21"/>
      <c r="H8" s="21"/>
      <c r="I8" s="21"/>
      <c r="J8" s="21">
        <f>J5</f>
        <v>0</v>
      </c>
      <c r="K8" s="21"/>
      <c r="L8" s="21">
        <f>L5</f>
        <v>0</v>
      </c>
      <c r="M8" s="21">
        <f>M5</f>
        <v>0</v>
      </c>
      <c r="N8" s="21">
        <f>N5</f>
        <v>18077.594779956675</v>
      </c>
      <c r="O8" s="21">
        <f>O5</f>
        <v>314.23</v>
      </c>
      <c r="P8" s="21">
        <f>P5</f>
        <v>1296.5333333333333</v>
      </c>
    </row>
    <row r="9" spans="1:16">
      <c r="B9" s="19"/>
      <c r="C9" s="19"/>
      <c r="D9" s="258"/>
      <c r="E9" s="19"/>
      <c r="F9" s="19"/>
      <c r="G9" s="19"/>
      <c r="H9" s="19"/>
      <c r="I9" s="19"/>
      <c r="J9" s="19"/>
      <c r="K9" s="19"/>
      <c r="L9" s="19"/>
      <c r="M9" s="19"/>
      <c r="N9" s="19"/>
      <c r="O9" s="19"/>
      <c r="P9" s="19"/>
    </row>
    <row r="10" spans="1:16">
      <c r="A10" s="24" t="s">
        <v>214</v>
      </c>
      <c r="B10" s="25">
        <f ca="1">'EF ele_warmte'!B12</f>
        <v>0.17569111285259512</v>
      </c>
      <c r="C10" s="25">
        <f ca="1">'EF ele_warmte'!B22</f>
        <v>0.23649325928269987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6029.9722715184962</v>
      </c>
      <c r="C12" s="23">
        <f ca="1">C10*C8</f>
        <v>0</v>
      </c>
      <c r="D12" s="23">
        <f>D8*D10</f>
        <v>21026.634056187559</v>
      </c>
      <c r="E12" s="23">
        <f>E10*E8</f>
        <v>639.36173863651345</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3771</v>
      </c>
      <c r="C18" s="166" t="s">
        <v>111</v>
      </c>
      <c r="D18" s="228"/>
      <c r="E18" s="15"/>
    </row>
    <row r="19" spans="1:7">
      <c r="A19" s="171" t="s">
        <v>72</v>
      </c>
      <c r="B19" s="37">
        <f>aantalw2001_ander</f>
        <v>6</v>
      </c>
      <c r="C19" s="166" t="s">
        <v>111</v>
      </c>
      <c r="D19" s="229"/>
      <c r="E19" s="15"/>
    </row>
    <row r="20" spans="1:7">
      <c r="A20" s="171" t="s">
        <v>73</v>
      </c>
      <c r="B20" s="37">
        <f>aantalw2001_propaan</f>
        <v>60</v>
      </c>
      <c r="C20" s="167">
        <f>IF(ISERROR(B20/SUM($B$20,$B$21,$B$22)*100),0,B20/SUM($B$20,$B$21,$B$22)*100)</f>
        <v>7.5282308657465489</v>
      </c>
      <c r="D20" s="229"/>
      <c r="E20" s="15"/>
    </row>
    <row r="21" spans="1:7">
      <c r="A21" s="171" t="s">
        <v>74</v>
      </c>
      <c r="B21" s="37">
        <f>aantalw2001_elektriciteit</f>
        <v>624</v>
      </c>
      <c r="C21" s="167">
        <f>IF(ISERROR(B21/SUM($B$20,$B$21,$B$22)*100),0,B21/SUM($B$20,$B$21,$B$22)*100)</f>
        <v>78.29360100376411</v>
      </c>
      <c r="D21" s="229"/>
      <c r="E21" s="15"/>
    </row>
    <row r="22" spans="1:7">
      <c r="A22" s="171" t="s">
        <v>75</v>
      </c>
      <c r="B22" s="37">
        <f>aantalw2001_hout</f>
        <v>113</v>
      </c>
      <c r="C22" s="167">
        <f>IF(ISERROR(B22/SUM($B$20,$B$21,$B$22)*100),0,B22/SUM($B$20,$B$21,$B$22)*100)</f>
        <v>14.178168130489336</v>
      </c>
      <c r="D22" s="229"/>
      <c r="E22" s="15"/>
    </row>
    <row r="23" spans="1:7">
      <c r="A23" s="171" t="s">
        <v>76</v>
      </c>
      <c r="B23" s="37">
        <f>aantalw2001_niet_gespec</f>
        <v>88</v>
      </c>
      <c r="C23" s="166" t="s">
        <v>111</v>
      </c>
      <c r="D23" s="228"/>
      <c r="E23" s="15"/>
    </row>
    <row r="24" spans="1:7">
      <c r="A24" s="171" t="s">
        <v>77</v>
      </c>
      <c r="B24" s="37">
        <f>aantalw2001_steenkool</f>
        <v>105</v>
      </c>
      <c r="C24" s="166" t="s">
        <v>111</v>
      </c>
      <c r="D24" s="229"/>
      <c r="E24" s="15"/>
    </row>
    <row r="25" spans="1:7">
      <c r="A25" s="171" t="s">
        <v>78</v>
      </c>
      <c r="B25" s="37">
        <f>aantalw2001_stookolie</f>
        <v>1450</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7356</v>
      </c>
      <c r="C28" s="36"/>
      <c r="D28" s="228"/>
    </row>
    <row r="29" spans="1:7" s="15" customFormat="1">
      <c r="A29" s="230" t="s">
        <v>795</v>
      </c>
      <c r="B29" s="37">
        <f>SUM(HH_hh_gas_aantal,HH_rest_gas_aantal)</f>
        <v>5521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5521</v>
      </c>
      <c r="C32" s="167">
        <f>IF(ISERROR(B32/SUM($B$32,$B$34,$B$35,$B$36,$B$38,$B$39)*100),0,B32/SUM($B$32,$B$34,$B$35,$B$36,$B$38,$B$39)*100)</f>
        <v>75.754665203073543</v>
      </c>
      <c r="D32" s="233"/>
      <c r="G32" s="15"/>
    </row>
    <row r="33" spans="1:7">
      <c r="A33" s="171" t="s">
        <v>72</v>
      </c>
      <c r="B33" s="34" t="s">
        <v>111</v>
      </c>
      <c r="C33" s="167"/>
      <c r="D33" s="233"/>
      <c r="G33" s="15"/>
    </row>
    <row r="34" spans="1:7">
      <c r="A34" s="171" t="s">
        <v>73</v>
      </c>
      <c r="B34" s="33">
        <f>IF((($B$28-$B$32-$B$39-$B$77-$B$38)*C20/100)&lt;0,0,($B$28-$B$32-$B$39-$B$77-$B$38)*C20/100)</f>
        <v>133.02383939774151</v>
      </c>
      <c r="C34" s="167">
        <f>IF(ISERROR(B34/SUM($B$32,$B$34,$B$35,$B$36,$B$38,$B$39)*100),0,B34/SUM($B$32,$B$34,$B$35,$B$36,$B$38,$B$39)*100)</f>
        <v>1.8252447776858056</v>
      </c>
      <c r="D34" s="233"/>
      <c r="G34" s="15"/>
    </row>
    <row r="35" spans="1:7">
      <c r="A35" s="171" t="s">
        <v>74</v>
      </c>
      <c r="B35" s="33">
        <f>IF((($B$28-$B$32-$B$39-$B$77-$B$38)*C21/100)&lt;0,0,($B$28-$B$32-$B$39-$B$77-$B$38)*C21/100)</f>
        <v>1383.4479297365117</v>
      </c>
      <c r="C35" s="167">
        <f>IF(ISERROR(B35/SUM($B$32,$B$34,$B$35,$B$36,$B$38,$B$39)*100),0,B35/SUM($B$32,$B$34,$B$35,$B$36,$B$38,$B$39)*100)</f>
        <v>18.98254568793238</v>
      </c>
      <c r="D35" s="233"/>
      <c r="G35" s="15"/>
    </row>
    <row r="36" spans="1:7">
      <c r="A36" s="171" t="s">
        <v>75</v>
      </c>
      <c r="B36" s="33">
        <f>IF((($B$28-$B$32-$B$39-$B$77-$B$38)*C22/100)&lt;0,0,($B$28-$B$32-$B$39-$B$77-$B$38)*C22/100)</f>
        <v>250.52823086574656</v>
      </c>
      <c r="C36" s="167">
        <f>IF(ISERROR(B36/SUM($B$32,$B$34,$B$35,$B$36,$B$38,$B$39)*100),0,B36/SUM($B$32,$B$34,$B$35,$B$36,$B$38,$B$39)*100)</f>
        <v>3.4375443313082679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5521</v>
      </c>
      <c r="C44" s="34" t="s">
        <v>111</v>
      </c>
      <c r="D44" s="174"/>
    </row>
    <row r="45" spans="1:7">
      <c r="A45" s="171" t="s">
        <v>72</v>
      </c>
      <c r="B45" s="33" t="str">
        <f t="shared" si="0"/>
        <v>-</v>
      </c>
      <c r="C45" s="34" t="s">
        <v>111</v>
      </c>
      <c r="D45" s="174"/>
    </row>
    <row r="46" spans="1:7">
      <c r="A46" s="171" t="s">
        <v>73</v>
      </c>
      <c r="B46" s="33">
        <f t="shared" si="0"/>
        <v>133.02383939774151</v>
      </c>
      <c r="C46" s="34" t="s">
        <v>111</v>
      </c>
      <c r="D46" s="174"/>
    </row>
    <row r="47" spans="1:7">
      <c r="A47" s="171" t="s">
        <v>74</v>
      </c>
      <c r="B47" s="33">
        <f t="shared" si="0"/>
        <v>1383.4479297365117</v>
      </c>
      <c r="C47" s="34" t="s">
        <v>111</v>
      </c>
      <c r="D47" s="174"/>
    </row>
    <row r="48" spans="1:7">
      <c r="A48" s="171" t="s">
        <v>75</v>
      </c>
      <c r="B48" s="33">
        <f t="shared" si="0"/>
        <v>250.52823086574656</v>
      </c>
      <c r="C48" s="33">
        <f>B48*10</f>
        <v>2505.2823086574658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17430.720911653978</v>
      </c>
      <c r="C5" s="17">
        <f>IF(ISERROR('Eigen informatie GS &amp; warmtenet'!B58),0,'Eigen informatie GS &amp; warmtenet'!B58)</f>
        <v>0</v>
      </c>
      <c r="D5" s="30">
        <f>SUM(D6:D12)</f>
        <v>30090.304729191623</v>
      </c>
      <c r="E5" s="17">
        <f>SUM(E6:E12)</f>
        <v>288.24361442154219</v>
      </c>
      <c r="F5" s="17">
        <f>SUM(F6:F12)</f>
        <v>3208.7530891777787</v>
      </c>
      <c r="G5" s="18"/>
      <c r="H5" s="17"/>
      <c r="I5" s="17"/>
      <c r="J5" s="17">
        <f>SUM(J6:J12)</f>
        <v>6.4349441703966809E-2</v>
      </c>
      <c r="K5" s="17"/>
      <c r="L5" s="17"/>
      <c r="M5" s="17"/>
      <c r="N5" s="17">
        <f>SUM(N6:N12)</f>
        <v>2540.9500670202601</v>
      </c>
      <c r="O5" s="17">
        <f>B38*B39*B40</f>
        <v>0</v>
      </c>
      <c r="P5" s="17">
        <f>B46*B47*B48/1000-B46*B47*B48/1000/B49</f>
        <v>76.266666666666666</v>
      </c>
      <c r="R5" s="32"/>
    </row>
    <row r="6" spans="1:18">
      <c r="A6" s="32" t="s">
        <v>54</v>
      </c>
      <c r="B6" s="37">
        <f>B26</f>
        <v>3655.9646104592098</v>
      </c>
      <c r="C6" s="33"/>
      <c r="D6" s="37">
        <f>IF(ISERROR(TER_kantoor_gas_kWh/1000),0,TER_kantoor_gas_kWh/1000)*0.902</f>
        <v>10303.334928964679</v>
      </c>
      <c r="E6" s="33">
        <f>$C$26*'E Balans VL '!I12/100/3.6*1000000</f>
        <v>2.2914370223578534E-2</v>
      </c>
      <c r="F6" s="33">
        <f>$C$26*('E Balans VL '!L12+'E Balans VL '!N12)/100/3.6*1000000</f>
        <v>549.38932355766781</v>
      </c>
      <c r="G6" s="34"/>
      <c r="H6" s="33"/>
      <c r="I6" s="33"/>
      <c r="J6" s="33">
        <f>$C$26*('E Balans VL '!D12+'E Balans VL '!E12)/100/3.6*1000000</f>
        <v>0</v>
      </c>
      <c r="K6" s="33"/>
      <c r="L6" s="33"/>
      <c r="M6" s="33"/>
      <c r="N6" s="33">
        <f>$C$26*'E Balans VL '!Y12/100/3.6*1000000</f>
        <v>3.4963880936632239</v>
      </c>
      <c r="O6" s="33"/>
      <c r="P6" s="33"/>
      <c r="R6" s="32"/>
    </row>
    <row r="7" spans="1:18">
      <c r="A7" s="32" t="s">
        <v>53</v>
      </c>
      <c r="B7" s="37">
        <f t="shared" ref="B7:B12" si="0">B27</f>
        <v>1679.7973448626899</v>
      </c>
      <c r="C7" s="33"/>
      <c r="D7" s="37">
        <f>IF(ISERROR(TER_horeca_gas_kWh/1000),0,TER_horeca_gas_kWh/1000)*0.902</f>
        <v>2578.1646253468339</v>
      </c>
      <c r="E7" s="33">
        <f>$C$27*'E Balans VL '!I9/100/3.6*1000000</f>
        <v>24.054418177609509</v>
      </c>
      <c r="F7" s="33">
        <f>$C$27*('E Balans VL '!L9+'E Balans VL '!N9)/100/3.6*1000000</f>
        <v>212.7177457104543</v>
      </c>
      <c r="G7" s="34"/>
      <c r="H7" s="33"/>
      <c r="I7" s="33"/>
      <c r="J7" s="33">
        <f>$C$27*('E Balans VL '!D9+'E Balans VL '!E9)/100/3.6*1000000</f>
        <v>0</v>
      </c>
      <c r="K7" s="33"/>
      <c r="L7" s="33"/>
      <c r="M7" s="33"/>
      <c r="N7" s="33">
        <f>$C$27*'E Balans VL '!Y9/100/3.6*1000000</f>
        <v>0.48290470029575722</v>
      </c>
      <c r="O7" s="33"/>
      <c r="P7" s="33"/>
      <c r="R7" s="32"/>
    </row>
    <row r="8" spans="1:18">
      <c r="A8" s="6" t="s">
        <v>52</v>
      </c>
      <c r="B8" s="37">
        <f t="shared" si="0"/>
        <v>6121.4622945457104</v>
      </c>
      <c r="C8" s="33"/>
      <c r="D8" s="37">
        <f>IF(ISERROR(TER_handel_gas_kWh/1000),0,TER_handel_gas_kWh/1000)*0.902</f>
        <v>4290.0779339803848</v>
      </c>
      <c r="E8" s="33">
        <f>$C$28*'E Balans VL '!I13/100/3.6*1000000</f>
        <v>222.02468255826187</v>
      </c>
      <c r="F8" s="33">
        <f>$C$28*('E Balans VL '!L13+'E Balans VL '!N13)/100/3.6*1000000</f>
        <v>1179.0556216760394</v>
      </c>
      <c r="G8" s="34"/>
      <c r="H8" s="33"/>
      <c r="I8" s="33"/>
      <c r="J8" s="33">
        <f>$C$28*('E Balans VL '!D13+'E Balans VL '!E13)/100/3.6*1000000</f>
        <v>0</v>
      </c>
      <c r="K8" s="33"/>
      <c r="L8" s="33"/>
      <c r="M8" s="33"/>
      <c r="N8" s="33">
        <f>$C$28*'E Balans VL '!Y13/100/3.6*1000000</f>
        <v>8.4796337636032053</v>
      </c>
      <c r="O8" s="33"/>
      <c r="P8" s="33"/>
      <c r="R8" s="32"/>
    </row>
    <row r="9" spans="1:18">
      <c r="A9" s="32" t="s">
        <v>51</v>
      </c>
      <c r="B9" s="37">
        <f t="shared" si="0"/>
        <v>277.85667737627</v>
      </c>
      <c r="C9" s="33"/>
      <c r="D9" s="37">
        <f>IF(ISERROR(TER_gezond_gas_kWh/1000),0,TER_gezond_gas_kWh/1000)*0.902</f>
        <v>659.98152037861666</v>
      </c>
      <c r="E9" s="33">
        <f>$C$29*'E Balans VL '!I10/100/3.6*1000000</f>
        <v>1.7396571342830732E-2</v>
      </c>
      <c r="F9" s="33">
        <f>$C$29*('E Balans VL '!L10+'E Balans VL '!N10)/100/3.6*1000000</f>
        <v>41.276455417259399</v>
      </c>
      <c r="G9" s="34"/>
      <c r="H9" s="33"/>
      <c r="I9" s="33"/>
      <c r="J9" s="33">
        <f>$C$29*('E Balans VL '!D10+'E Balans VL '!E10)/100/3.6*1000000</f>
        <v>0</v>
      </c>
      <c r="K9" s="33"/>
      <c r="L9" s="33"/>
      <c r="M9" s="33"/>
      <c r="N9" s="33">
        <f>$C$29*'E Balans VL '!Y10/100/3.6*1000000</f>
        <v>4.2979138965337125</v>
      </c>
      <c r="O9" s="33"/>
      <c r="P9" s="33"/>
      <c r="R9" s="32"/>
    </row>
    <row r="10" spans="1:18">
      <c r="A10" s="32" t="s">
        <v>50</v>
      </c>
      <c r="B10" s="37">
        <f t="shared" si="0"/>
        <v>2703.96432734472</v>
      </c>
      <c r="C10" s="33"/>
      <c r="D10" s="37">
        <f>IF(ISERROR(TER_ander_gas_kWh/1000),0,TER_ander_gas_kWh/1000)*0.902</f>
        <v>3368.2101559279504</v>
      </c>
      <c r="E10" s="33">
        <f>$C$30*'E Balans VL '!I14/100/3.6*1000000</f>
        <v>3.2230288548363255</v>
      </c>
      <c r="F10" s="33">
        <f>$C$30*('E Balans VL '!L14+'E Balans VL '!N14)/100/3.6*1000000</f>
        <v>707.47727684579468</v>
      </c>
      <c r="G10" s="34"/>
      <c r="H10" s="33"/>
      <c r="I10" s="33"/>
      <c r="J10" s="33">
        <f>$C$30*('E Balans VL '!D14+'E Balans VL '!E14)/100/3.6*1000000</f>
        <v>5.8692466299156663E-2</v>
      </c>
      <c r="K10" s="33"/>
      <c r="L10" s="33"/>
      <c r="M10" s="33"/>
      <c r="N10" s="33">
        <f>$C$30*'E Balans VL '!Y14/100/3.6*1000000</f>
        <v>2296.1403417053862</v>
      </c>
      <c r="O10" s="33"/>
      <c r="P10" s="33"/>
      <c r="R10" s="32"/>
    </row>
    <row r="11" spans="1:18">
      <c r="A11" s="32" t="s">
        <v>55</v>
      </c>
      <c r="B11" s="37">
        <f t="shared" si="0"/>
        <v>655.55488512404997</v>
      </c>
      <c r="C11" s="33"/>
      <c r="D11" s="37">
        <f>IF(ISERROR(TER_onderwijs_gas_kWh/1000),0,TER_onderwijs_gas_kWh/1000)*0.902</f>
        <v>3411.5596510956916</v>
      </c>
      <c r="E11" s="33">
        <f>$C$31*'E Balans VL '!I11/100/3.6*1000000</f>
        <v>9.8912673449769191</v>
      </c>
      <c r="F11" s="33">
        <f>$C$31*('E Balans VL '!L11+'E Balans VL '!N11)/100/3.6*1000000</f>
        <v>114.86368867458572</v>
      </c>
      <c r="G11" s="34"/>
      <c r="H11" s="33"/>
      <c r="I11" s="33"/>
      <c r="J11" s="33">
        <f>$C$31*('E Balans VL '!D11+'E Balans VL '!E11)/100/3.6*1000000</f>
        <v>0</v>
      </c>
      <c r="K11" s="33"/>
      <c r="L11" s="33"/>
      <c r="M11" s="33"/>
      <c r="N11" s="33">
        <f>$C$31*'E Balans VL '!Y11/100/3.6*1000000</f>
        <v>1.8447812839193367</v>
      </c>
      <c r="O11" s="33"/>
      <c r="P11" s="33"/>
      <c r="R11" s="32"/>
    </row>
    <row r="12" spans="1:18">
      <c r="A12" s="32" t="s">
        <v>260</v>
      </c>
      <c r="B12" s="37">
        <f t="shared" si="0"/>
        <v>2336.1207719413296</v>
      </c>
      <c r="C12" s="33"/>
      <c r="D12" s="37">
        <f>IF(ISERROR(TER_rest_gas_kWh/1000),0,TER_rest_gas_kWh/1000)*0.902</f>
        <v>5478.9759134974647</v>
      </c>
      <c r="E12" s="33">
        <f>$C$32*'E Balans VL '!I8/100/3.6*1000000</f>
        <v>29.009906544291152</v>
      </c>
      <c r="F12" s="33">
        <f>$C$32*('E Balans VL '!L8+'E Balans VL '!N8)/100/3.6*1000000</f>
        <v>403.97297729597744</v>
      </c>
      <c r="G12" s="34"/>
      <c r="H12" s="33"/>
      <c r="I12" s="33"/>
      <c r="J12" s="33">
        <f>$C$32*('E Balans VL '!D8+'E Balans VL '!E8)/100/3.6*1000000</f>
        <v>5.6569754048101523E-3</v>
      </c>
      <c r="K12" s="33"/>
      <c r="L12" s="33"/>
      <c r="M12" s="33"/>
      <c r="N12" s="33">
        <f>$C$32*'E Balans VL '!Y8/100/3.6*1000000</f>
        <v>226.2081035768586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17430.720911653978</v>
      </c>
      <c r="C16" s="21">
        <f t="shared" ca="1" si="1"/>
        <v>0</v>
      </c>
      <c r="D16" s="21">
        <f t="shared" ca="1" si="1"/>
        <v>30090.304729191623</v>
      </c>
      <c r="E16" s="21">
        <f t="shared" si="1"/>
        <v>288.24361442154219</v>
      </c>
      <c r="F16" s="21">
        <f t="shared" ca="1" si="1"/>
        <v>3208.7530891777787</v>
      </c>
      <c r="G16" s="21">
        <f t="shared" si="1"/>
        <v>0</v>
      </c>
      <c r="H16" s="21">
        <f t="shared" si="1"/>
        <v>0</v>
      </c>
      <c r="I16" s="21">
        <f t="shared" si="1"/>
        <v>0</v>
      </c>
      <c r="J16" s="21">
        <f t="shared" si="1"/>
        <v>6.4349441703966809E-2</v>
      </c>
      <c r="K16" s="21">
        <f t="shared" si="1"/>
        <v>0</v>
      </c>
      <c r="L16" s="21">
        <f t="shared" ca="1" si="1"/>
        <v>0</v>
      </c>
      <c r="M16" s="21">
        <f t="shared" si="1"/>
        <v>0</v>
      </c>
      <c r="N16" s="21">
        <f t="shared" ca="1" si="1"/>
        <v>2540.9500670202601</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0.17569111285259512</v>
      </c>
      <c r="C18" s="25">
        <f ca="1">'EF ele_warmte'!B22</f>
        <v>0.23649325928269987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3062.4227547914888</v>
      </c>
      <c r="C20" s="23">
        <f t="shared" ref="C20:P20" ca="1" si="2">C16*C18</f>
        <v>0</v>
      </c>
      <c r="D20" s="23">
        <f t="shared" ca="1" si="2"/>
        <v>6078.2415552967086</v>
      </c>
      <c r="E20" s="23">
        <f t="shared" si="2"/>
        <v>65.431300473690072</v>
      </c>
      <c r="F20" s="23">
        <f t="shared" ca="1" si="2"/>
        <v>856.73707481046699</v>
      </c>
      <c r="G20" s="23">
        <f t="shared" si="2"/>
        <v>0</v>
      </c>
      <c r="H20" s="23">
        <f t="shared" si="2"/>
        <v>0</v>
      </c>
      <c r="I20" s="23">
        <f t="shared" si="2"/>
        <v>0</v>
      </c>
      <c r="J20" s="23">
        <f t="shared" si="2"/>
        <v>2.277970236320425E-2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3655.9646104592098</v>
      </c>
      <c r="C26" s="39">
        <f>IF(ISERROR(B26*3.6/1000000/'E Balans VL '!Z12*100),0,B26*3.6/1000000/'E Balans VL '!Z12*100)</f>
        <v>7.728130034935464E-2</v>
      </c>
      <c r="D26" s="237" t="s">
        <v>754</v>
      </c>
      <c r="F26" s="6"/>
    </row>
    <row r="27" spans="1:18">
      <c r="A27" s="231" t="s">
        <v>53</v>
      </c>
      <c r="B27" s="33">
        <f>IF(ISERROR(TER_horeca_ele_kWh/1000),0,TER_horeca_ele_kWh/1000)</f>
        <v>1679.7973448626899</v>
      </c>
      <c r="C27" s="39">
        <f>IF(ISERROR(B27*3.6/1000000/'E Balans VL '!Z9*100),0,B27*3.6/1000000/'E Balans VL '!Z9*100)</f>
        <v>0.13241779860309225</v>
      </c>
      <c r="D27" s="237" t="s">
        <v>754</v>
      </c>
      <c r="F27" s="6"/>
    </row>
    <row r="28" spans="1:18">
      <c r="A28" s="171" t="s">
        <v>52</v>
      </c>
      <c r="B28" s="33">
        <f>IF(ISERROR(TER_handel_ele_kWh/1000),0,TER_handel_ele_kWh/1000)</f>
        <v>6121.4622945457104</v>
      </c>
      <c r="C28" s="39">
        <f>IF(ISERROR(B28*3.6/1000000/'E Balans VL '!Z13*100),0,B28*3.6/1000000/'E Balans VL '!Z13*100)</f>
        <v>0.17766956926692379</v>
      </c>
      <c r="D28" s="237" t="s">
        <v>754</v>
      </c>
      <c r="F28" s="6"/>
    </row>
    <row r="29" spans="1:18">
      <c r="A29" s="231" t="s">
        <v>51</v>
      </c>
      <c r="B29" s="33">
        <f>IF(ISERROR(TER_gezond_ele_kWh/1000),0,TER_gezond_ele_kWh/1000)</f>
        <v>277.85667737627</v>
      </c>
      <c r="C29" s="39">
        <f>IF(ISERROR(B29*3.6/1000000/'E Balans VL '!Z10*100),0,B29*3.6/1000000/'E Balans VL '!Z10*100)</f>
        <v>2.9262870654796828E-2</v>
      </c>
      <c r="D29" s="237" t="s">
        <v>754</v>
      </c>
      <c r="F29" s="6"/>
    </row>
    <row r="30" spans="1:18">
      <c r="A30" s="231" t="s">
        <v>50</v>
      </c>
      <c r="B30" s="33">
        <f>IF(ISERROR(TER_ander_ele_kWh/1000),0,TER_ander_ele_kWh/1000)</f>
        <v>2703.96432734472</v>
      </c>
      <c r="C30" s="39">
        <f>IF(ISERROR(B30*3.6/1000000/'E Balans VL '!Z14*100),0,B30*3.6/1000000/'E Balans VL '!Z14*100)</f>
        <v>0.199444996083077</v>
      </c>
      <c r="D30" s="237" t="s">
        <v>754</v>
      </c>
      <c r="F30" s="6"/>
    </row>
    <row r="31" spans="1:18">
      <c r="A31" s="231" t="s">
        <v>55</v>
      </c>
      <c r="B31" s="33">
        <f>IF(ISERROR(TER_onderwijs_ele_kWh/1000),0,TER_onderwijs_ele_kWh/1000)</f>
        <v>655.55488512404997</v>
      </c>
      <c r="C31" s="39">
        <f>IF(ISERROR(B31*3.6/1000000/'E Balans VL '!Z11*100),0,B31*3.6/1000000/'E Balans VL '!Z11*100)</f>
        <v>0.16280498597557813</v>
      </c>
      <c r="D31" s="237" t="s">
        <v>754</v>
      </c>
    </row>
    <row r="32" spans="1:18">
      <c r="A32" s="231" t="s">
        <v>260</v>
      </c>
      <c r="B32" s="33">
        <f>IF(ISERROR(TER_rest_ele_kWh/1000),0,TER_rest_ele_kWh/1000)</f>
        <v>2336.1207719413296</v>
      </c>
      <c r="C32" s="39">
        <f>IF(ISERROR(B32*3.6/1000000/'E Balans VL '!Z8*100),0,B32*3.6/1000000/'E Balans VL '!Z8*100)</f>
        <v>1.9223173067965543E-2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17872.997376433552</v>
      </c>
      <c r="C5" s="17">
        <f>IF(ISERROR('Eigen informatie GS &amp; warmtenet'!B59),0,'Eigen informatie GS &amp; warmtenet'!B59)</f>
        <v>0</v>
      </c>
      <c r="D5" s="30">
        <f>SUM(D6:D15)</f>
        <v>14813.691185720658</v>
      </c>
      <c r="E5" s="17">
        <f>SUM(E6:E15)</f>
        <v>792.25048489780693</v>
      </c>
      <c r="F5" s="17">
        <f>SUM(F6:F15)</f>
        <v>3059.7728119989556</v>
      </c>
      <c r="G5" s="18"/>
      <c r="H5" s="17"/>
      <c r="I5" s="17"/>
      <c r="J5" s="17">
        <f>SUM(J6:J15)</f>
        <v>22.342031583608065</v>
      </c>
      <c r="K5" s="17"/>
      <c r="L5" s="17"/>
      <c r="M5" s="17"/>
      <c r="N5" s="17">
        <f>SUM(N6:N15)</f>
        <v>2933.0480977712414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876.59850029871905</v>
      </c>
      <c r="C8" s="33"/>
      <c r="D8" s="37">
        <f>IF( ISERROR(IND_metaal_Gas_kWH/1000),0,IND_metaal_Gas_kWH/1000)*0.902</f>
        <v>117.77380740854908</v>
      </c>
      <c r="E8" s="33">
        <f>C30*'E Balans VL '!I18/100/3.6*1000000</f>
        <v>8.0594765833636863</v>
      </c>
      <c r="F8" s="33">
        <f>C30*'E Balans VL '!L18/100/3.6*1000000+C30*'E Balans VL '!N18/100/3.6*1000000</f>
        <v>82.195754409713658</v>
      </c>
      <c r="G8" s="34"/>
      <c r="H8" s="33"/>
      <c r="I8" s="33"/>
      <c r="J8" s="40">
        <f>C30*'E Balans VL '!D18/100/3.6*1000000+C30*'E Balans VL '!E18/100/3.6*1000000</f>
        <v>0</v>
      </c>
      <c r="K8" s="33"/>
      <c r="L8" s="33"/>
      <c r="M8" s="33"/>
      <c r="N8" s="33">
        <f>C30*'E Balans VL '!Y18/100/3.6*1000000</f>
        <v>12.506126246786719</v>
      </c>
      <c r="O8" s="33"/>
      <c r="P8" s="33"/>
      <c r="R8" s="32"/>
    </row>
    <row r="9" spans="1:18">
      <c r="A9" s="6" t="s">
        <v>33</v>
      </c>
      <c r="B9" s="37">
        <f t="shared" si="0"/>
        <v>1437.8497408892501</v>
      </c>
      <c r="C9" s="33"/>
      <c r="D9" s="37">
        <f>IF( ISERROR(IND_andere_gas_kWh/1000),0,IND_andere_gas_kWh/1000)*0.902</f>
        <v>1915.7066371024587</v>
      </c>
      <c r="E9" s="33">
        <f>C31*'E Balans VL '!I19/100/3.6*1000000</f>
        <v>420.31147089478884</v>
      </c>
      <c r="F9" s="33">
        <f>C31*'E Balans VL '!L19/100/3.6*1000000+C31*'E Balans VL '!N19/100/3.6*1000000</f>
        <v>1155.4211020294729</v>
      </c>
      <c r="G9" s="34"/>
      <c r="H9" s="33"/>
      <c r="I9" s="33"/>
      <c r="J9" s="40">
        <f>C31*'E Balans VL '!D19/100/3.6*1000000+C31*'E Balans VL '!E19/100/3.6*1000000</f>
        <v>0</v>
      </c>
      <c r="K9" s="33"/>
      <c r="L9" s="33"/>
      <c r="M9" s="33"/>
      <c r="N9" s="33">
        <f>C31*'E Balans VL '!Y19/100/3.6*1000000</f>
        <v>475.08785385825581</v>
      </c>
      <c r="O9" s="33"/>
      <c r="P9" s="33"/>
      <c r="R9" s="32"/>
    </row>
    <row r="10" spans="1:18">
      <c r="A10" s="6" t="s">
        <v>41</v>
      </c>
      <c r="B10" s="37">
        <f t="shared" si="0"/>
        <v>9181.6851884747084</v>
      </c>
      <c r="C10" s="33"/>
      <c r="D10" s="37">
        <f>IF( ISERROR(IND_voed_gas_kWh/1000),0,IND_voed_gas_kWh/1000)*0.902</f>
        <v>1802.8657579964538</v>
      </c>
      <c r="E10" s="33">
        <f>C32*'E Balans VL '!I20/100/3.6*1000000</f>
        <v>19.42399737993323</v>
      </c>
      <c r="F10" s="33">
        <f>C32*'E Balans VL '!L20/100/3.6*1000000+C32*'E Balans VL '!N20/100/3.6*1000000</f>
        <v>583.78092309961232</v>
      </c>
      <c r="G10" s="34"/>
      <c r="H10" s="33"/>
      <c r="I10" s="33"/>
      <c r="J10" s="40">
        <f>C32*'E Balans VL '!D20/100/3.6*1000000+C32*'E Balans VL '!E20/100/3.6*1000000</f>
        <v>0</v>
      </c>
      <c r="K10" s="33"/>
      <c r="L10" s="33"/>
      <c r="M10" s="33"/>
      <c r="N10" s="33">
        <f>C32*'E Balans VL '!Y20/100/3.6*1000000</f>
        <v>633.62688508814097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142.182295045724</v>
      </c>
      <c r="C13" s="33"/>
      <c r="D13" s="37">
        <f>IF( ISERROR(IND_papier_gas_kWh/1000),0,IND_papier_gas_kWh/1000)*0.902</f>
        <v>108.16885510728491</v>
      </c>
      <c r="E13" s="33">
        <f>C35*'E Balans VL '!I23/100/3.6*1000000</f>
        <v>0.20172415983143294</v>
      </c>
      <c r="F13" s="33">
        <f>C35*'E Balans VL '!L23/100/3.6*1000000+C35*'E Balans VL '!N23/100/3.6*1000000</f>
        <v>3.4712044619660869</v>
      </c>
      <c r="G13" s="34"/>
      <c r="H13" s="33"/>
      <c r="I13" s="33"/>
      <c r="J13" s="40">
        <f>C35*'E Balans VL '!D23/100/3.6*1000000+C35*'E Balans VL '!E23/100/3.6*1000000</f>
        <v>2.1989826817551829E-2</v>
      </c>
      <c r="K13" s="33"/>
      <c r="L13" s="33"/>
      <c r="M13" s="33"/>
      <c r="N13" s="33">
        <f>C35*'E Balans VL '!Y23/100/3.6*1000000</f>
        <v>413.29027483690834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6234.68165172515</v>
      </c>
      <c r="C15" s="33"/>
      <c r="D15" s="37">
        <f>IF( ISERROR(IND_rest_gas_kWh/1000),0,IND_rest_gas_kWh/1000)*0.902</f>
        <v>10869.176128105912</v>
      </c>
      <c r="E15" s="33">
        <f>C37*'E Balans VL '!I15/100/3.6*1000000</f>
        <v>344.25381587988983</v>
      </c>
      <c r="F15" s="33">
        <f>C37*'E Balans VL '!L15/100/3.6*1000000+C37*'E Balans VL '!N15/100/3.6*1000000</f>
        <v>1234.9038279981908</v>
      </c>
      <c r="G15" s="34"/>
      <c r="H15" s="33"/>
      <c r="I15" s="33"/>
      <c r="J15" s="40">
        <f>C37*'E Balans VL '!D15/100/3.6*1000000+C37*'E Balans VL '!E15/100/3.6*1000000</f>
        <v>22.320041756790513</v>
      </c>
      <c r="K15" s="33"/>
      <c r="L15" s="33"/>
      <c r="M15" s="33"/>
      <c r="N15" s="33">
        <f>C37*'E Balans VL '!Y15/100/3.6*1000000</f>
        <v>1398.5369577411495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17872.997376433552</v>
      </c>
      <c r="C18" s="21">
        <f>C5+C16</f>
        <v>0</v>
      </c>
      <c r="D18" s="21">
        <f>MAX((D5+D16),0)</f>
        <v>14813.691185720658</v>
      </c>
      <c r="E18" s="21">
        <f>MAX((E5+E16),0)</f>
        <v>792.25048489780693</v>
      </c>
      <c r="F18" s="21">
        <f>MAX((F5+F16),0)</f>
        <v>3059.7728119989556</v>
      </c>
      <c r="G18" s="21"/>
      <c r="H18" s="21"/>
      <c r="I18" s="21"/>
      <c r="J18" s="21">
        <f>MAX((J5+J16),0)</f>
        <v>22.342031583608065</v>
      </c>
      <c r="K18" s="21"/>
      <c r="L18" s="21">
        <f>MAX((L5+L16),0)</f>
        <v>0</v>
      </c>
      <c r="M18" s="21"/>
      <c r="N18" s="21">
        <f>MAX((N5+N16),0)</f>
        <v>2933.0480977712414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0.17569111285259512</v>
      </c>
      <c r="C20" s="25">
        <f ca="1">'EF ele_warmte'!B22</f>
        <v>0.23649325928269987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3140.1267990771235</v>
      </c>
      <c r="C22" s="23">
        <f ca="1">C18*C20</f>
        <v>0</v>
      </c>
      <c r="D22" s="23">
        <f>D18*D20</f>
        <v>2992.3656195155731</v>
      </c>
      <c r="E22" s="23">
        <f>E18*E20</f>
        <v>179.84086007180218</v>
      </c>
      <c r="F22" s="23">
        <f>F18*F20</f>
        <v>816.95934080372115</v>
      </c>
      <c r="G22" s="23"/>
      <c r="H22" s="23"/>
      <c r="I22" s="23"/>
      <c r="J22" s="23">
        <f>J18*J20</f>
        <v>7.9090791805972547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876.59850029871905</v>
      </c>
      <c r="C30" s="39">
        <f>IF(ISERROR(B30*3.6/1000000/'E Balans VL '!Z18*100),0,B30*3.6/1000000/'E Balans VL '!Z18*100)</f>
        <v>4.9679084757496612E-2</v>
      </c>
      <c r="D30" s="237" t="s">
        <v>754</v>
      </c>
    </row>
    <row r="31" spans="1:18">
      <c r="A31" s="6" t="s">
        <v>33</v>
      </c>
      <c r="B31" s="37">
        <f>IF( ISERROR(IND_ander_ele_kWh/1000),0,IND_ander_ele_kWh/1000)</f>
        <v>1437.8497408892501</v>
      </c>
      <c r="C31" s="39">
        <f>IF(ISERROR(B31*3.6/1000000/'E Balans VL '!Z19*100),0,B31*3.6/1000000/'E Balans VL '!Z19*100)</f>
        <v>6.5214877144619002E-2</v>
      </c>
      <c r="D31" s="237" t="s">
        <v>754</v>
      </c>
    </row>
    <row r="32" spans="1:18">
      <c r="A32" s="171" t="s">
        <v>41</v>
      </c>
      <c r="B32" s="37">
        <f>IF( ISERROR(IND_voed_ele_kWh/1000),0,IND_voed_ele_kWh/1000)</f>
        <v>9181.6851884747084</v>
      </c>
      <c r="C32" s="39">
        <f>IF(ISERROR(B32*3.6/1000000/'E Balans VL '!Z20*100),0,B32*3.6/1000000/'E Balans VL '!Z20*100)</f>
        <v>0.28403120421089462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142.182295045724</v>
      </c>
      <c r="C35" s="39">
        <f>IF(ISERROR(B35*3.6/1000000/'E Balans VL '!Z22*100),0,B35*3.6/1000000/'E Balans VL '!Z22*100)</f>
        <v>2.5574158842209781E-2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6234.68165172515</v>
      </c>
      <c r="C37" s="39">
        <f>IF(ISERROR(B37*3.6/1000000/'E Balans VL '!Z15*100),0,B37*3.6/1000000/'E Balans VL '!Z15*100)</f>
        <v>4.9417509007199829E-2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3140.8879129128281</v>
      </c>
      <c r="C5" s="17">
        <f>'Eigen informatie GS &amp; warmtenet'!B60</f>
        <v>0</v>
      </c>
      <c r="D5" s="30">
        <f>IF(ISERROR(SUM(LB_lb_gas_kWh,LB_rest_gas_kWh,onbekend_gas_kWh)/1000),0,SUM(LB_lb_gas_kWh,LB_rest_gas_kWh,onbekend_gas_kWh)/1000)*0.902</f>
        <v>35073.701144078579</v>
      </c>
      <c r="E5" s="17">
        <f>B17*'E Balans VL '!I25/3.6*1000000/100</f>
        <v>92.32028913947623</v>
      </c>
      <c r="F5" s="17">
        <f>B17*('E Balans VL '!L25/3.6*1000000+'E Balans VL '!N25/3.6*1000000)/100</f>
        <v>13084.769320520481</v>
      </c>
      <c r="G5" s="18"/>
      <c r="H5" s="17"/>
      <c r="I5" s="17"/>
      <c r="J5" s="17">
        <f>('E Balans VL '!D25+'E Balans VL '!E25)/3.6*1000000*landbouw!B17/100</f>
        <v>455.04720724103112</v>
      </c>
      <c r="K5" s="17"/>
      <c r="L5" s="17">
        <f>L6*(-1)</f>
        <v>0</v>
      </c>
      <c r="M5" s="17"/>
      <c r="N5" s="17">
        <f>N6*(-1)</f>
        <v>124.71428571428569</v>
      </c>
      <c r="O5" s="17"/>
      <c r="P5" s="17"/>
      <c r="R5" s="32"/>
    </row>
    <row r="6" spans="1:18">
      <c r="A6" s="16" t="s">
        <v>488</v>
      </c>
      <c r="B6" s="17" t="s">
        <v>211</v>
      </c>
      <c r="C6" s="17">
        <f>'lokale energieproductie'!O91+'lokale energieproductie'!O60</f>
        <v>13031.999999999998</v>
      </c>
      <c r="D6" s="310">
        <f>('lokale energieproductie'!P60+'lokale energieproductie'!P91)*(-1)</f>
        <v>-25924.28571428571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3140.8879129128281</v>
      </c>
      <c r="C8" s="21">
        <f>C5+C6</f>
        <v>13031.999999999998</v>
      </c>
      <c r="D8" s="21">
        <f>MAX((D5+D6),0)</f>
        <v>9149.415429792869</v>
      </c>
      <c r="E8" s="21">
        <f>MAX((E5+E6),0)</f>
        <v>92.32028913947623</v>
      </c>
      <c r="F8" s="21">
        <f>MAX((F5+F6),0)</f>
        <v>13084.769320520481</v>
      </c>
      <c r="G8" s="21"/>
      <c r="H8" s="21"/>
      <c r="I8" s="21"/>
      <c r="J8" s="21">
        <f>MAX((J5+J6),0)</f>
        <v>455.04720724103112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0.17569111285259512</v>
      </c>
      <c r="C10" s="31">
        <f ca="1">'EF ele_warmte'!B22</f>
        <v>0.23649325928269987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551.82609276491962</v>
      </c>
      <c r="C12" s="23">
        <f ca="1">C8*C10</f>
        <v>3081.9801549721442</v>
      </c>
      <c r="D12" s="23">
        <f>D8*D10</f>
        <v>1848.1819168181596</v>
      </c>
      <c r="E12" s="23">
        <f>E8*E10</f>
        <v>20.956705634661105</v>
      </c>
      <c r="F12" s="23">
        <f>F8*F10</f>
        <v>3493.6334085789686</v>
      </c>
      <c r="G12" s="23"/>
      <c r="H12" s="23"/>
      <c r="I12" s="23"/>
      <c r="J12" s="23">
        <f>J8*J10</f>
        <v>161.08671136332501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0.44570184907763355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836.55900529666212</v>
      </c>
      <c r="C26" s="247">
        <f>B26*'GWP N2O_CH4'!B5</f>
        <v>17567.739111229905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301.18222280433361</v>
      </c>
      <c r="C27" s="247">
        <f>B27*'GWP N2O_CH4'!B5</f>
        <v>6324.8266788910059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9.4040617807111406</v>
      </c>
      <c r="C28" s="247">
        <f>B28*'GWP N2O_CH4'!B4</f>
        <v>2915.2591520204537</v>
      </c>
      <c r="D28" s="50"/>
    </row>
    <row r="29" spans="1:4">
      <c r="A29" s="41" t="s">
        <v>277</v>
      </c>
      <c r="B29" s="247">
        <f>B34*'ha_N2O bodem landbouw'!B4</f>
        <v>16.544328300642352</v>
      </c>
      <c r="C29" s="247">
        <f>B29*'GWP N2O_CH4'!B4</f>
        <v>5128.7417731991291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3.7753587039148617E-3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1.3220759196936824E-4</v>
      </c>
      <c r="C5" s="463" t="s">
        <v>211</v>
      </c>
      <c r="D5" s="448">
        <f>SUM(D6:D11)</f>
        <v>4.5257483246965036E-4</v>
      </c>
      <c r="E5" s="448">
        <f>SUM(E6:E11)</f>
        <v>6.0535769652117727E-4</v>
      </c>
      <c r="F5" s="461" t="s">
        <v>211</v>
      </c>
      <c r="G5" s="448">
        <f>SUM(G6:G11)</f>
        <v>0.20942384381141235</v>
      </c>
      <c r="H5" s="448">
        <f>SUM(H6:H11)</f>
        <v>5.1072133591914891E-2</v>
      </c>
      <c r="I5" s="463" t="s">
        <v>211</v>
      </c>
      <c r="J5" s="463" t="s">
        <v>211</v>
      </c>
      <c r="K5" s="463" t="s">
        <v>211</v>
      </c>
      <c r="L5" s="463" t="s">
        <v>211</v>
      </c>
      <c r="M5" s="448">
        <f>SUM(M6:M11)</f>
        <v>1.3751460730381958E-2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1.0819822992108503E-4</v>
      </c>
      <c r="C6" s="449"/>
      <c r="D6" s="962">
        <f>vkm_2011_GW_PW*SUMIFS(TableVerdeelsleutelVkm[CNG],TableVerdeelsleutelVkm[Voertuigtype],"Lichte voertuigen")*SUMIFS(TableECFTransport[EnergieConsumptieFactor (PJ per km)],TableECFTransport[Index],CONCATENATE($A6,"_CNG_CNG"))</f>
        <v>3.2453258962796997E-4</v>
      </c>
      <c r="E6" s="962">
        <f>vkm_2011_GW_PW*SUMIFS(TableVerdeelsleutelVkm[LPG],TableVerdeelsleutelVkm[Voertuigtype],"Lichte voertuigen")*SUMIFS(TableECFTransport[EnergieConsumptieFactor (PJ per km)],TableECFTransport[Index],CONCATENATE($A6,"_LPG_LPG"))</f>
        <v>4.4335813424092559E-4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0.11463208966194249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3.6905391709250536E-2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7.792672422608074E-3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4.7767497562671568E-2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1.4556016232165469E-5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2.7913739455578011E-3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2.4009362048283203E-5</v>
      </c>
      <c r="C8" s="449"/>
      <c r="D8" s="451">
        <f>vkm_2011_NGW_PW*SUMIFS(TableVerdeelsleutelVkm[CNG],TableVerdeelsleutelVkm[Voertuigtype],"Lichte voertuigen")*SUMIFS(TableECFTransport[EnergieConsumptieFactor (PJ per km)],TableECFTransport[Index],CONCATENATE($A8,"_CNG_CNG"))</f>
        <v>1.2804224284168042E-4</v>
      </c>
      <c r="E8" s="451">
        <f>vkm_2011_NGW_PW*SUMIFS(TableVerdeelsleutelVkm[LPG],TableVerdeelsleutelVkm[Voertuigtype],"Lichte voertuigen")*SUMIFS(TableECFTransport[EnergieConsumptieFactor (PJ per km)],TableECFTransport[Index],CONCATENATE($A8,"_LPG_LPG"))</f>
        <v>1.6199956228025173E-4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3.9033003844094284E-2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1.4149893387467255E-2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2.7004363198346371E-3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7.9912527427040119E-3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2.2924789649315105E-6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4.669780423814452E-4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36.724331102602285</v>
      </c>
      <c r="C14" s="21"/>
      <c r="D14" s="21">
        <f t="shared" ref="D14:M14" si="0">((D5)*10^9/3600)+D12</f>
        <v>125.71523124156954</v>
      </c>
      <c r="E14" s="21">
        <f t="shared" si="0"/>
        <v>168.15491570032702</v>
      </c>
      <c r="F14" s="21"/>
      <c r="G14" s="21">
        <f t="shared" si="0"/>
        <v>58173.289947614547</v>
      </c>
      <c r="H14" s="21">
        <f t="shared" si="0"/>
        <v>14186.703775531914</v>
      </c>
      <c r="I14" s="21"/>
      <c r="J14" s="21"/>
      <c r="K14" s="21"/>
      <c r="L14" s="21"/>
      <c r="M14" s="21">
        <f t="shared" si="0"/>
        <v>3819.8502028838775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0.17569111285259512</v>
      </c>
      <c r="C16" s="56">
        <f ca="1">'EF ele_warmte'!B22</f>
        <v>0.23649325928269987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6.4521386001833667</v>
      </c>
      <c r="C18" s="23"/>
      <c r="D18" s="23">
        <f t="shared" ref="D18:M18" si="1">D14*D16</f>
        <v>25.394476710797047</v>
      </c>
      <c r="E18" s="23">
        <f t="shared" si="1"/>
        <v>38.171165863974238</v>
      </c>
      <c r="F18" s="23"/>
      <c r="G18" s="23">
        <f t="shared" si="1"/>
        <v>15532.268416013085</v>
      </c>
      <c r="H18" s="23">
        <f t="shared" si="1"/>
        <v>3532.4892401074467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3.252241294475754E-3</v>
      </c>
      <c r="H50" s="321">
        <f t="shared" si="2"/>
        <v>0</v>
      </c>
      <c r="I50" s="321">
        <f t="shared" si="2"/>
        <v>0</v>
      </c>
      <c r="J50" s="321">
        <f t="shared" si="2"/>
        <v>0</v>
      </c>
      <c r="K50" s="321">
        <f t="shared" si="2"/>
        <v>0</v>
      </c>
      <c r="L50" s="321">
        <f t="shared" si="2"/>
        <v>0</v>
      </c>
      <c r="M50" s="321">
        <f t="shared" si="2"/>
        <v>1.8471294825860731E-4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3.252241294475754E-3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1.8471294825860731E-4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903.40035957659825</v>
      </c>
      <c r="H54" s="21">
        <f t="shared" si="3"/>
        <v>0</v>
      </c>
      <c r="I54" s="21">
        <f t="shared" si="3"/>
        <v>0</v>
      </c>
      <c r="J54" s="21">
        <f t="shared" si="3"/>
        <v>0</v>
      </c>
      <c r="K54" s="21">
        <f t="shared" si="3"/>
        <v>0</v>
      </c>
      <c r="L54" s="21">
        <f t="shared" si="3"/>
        <v>0</v>
      </c>
      <c r="M54" s="21">
        <f t="shared" si="3"/>
        <v>51.309152294057583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0.17569111285259512</v>
      </c>
      <c r="C56" s="56">
        <f ca="1">'EF ele_warmte'!B22</f>
        <v>0.23649325928269987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241.20789600695176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10592.474311393187</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5197.7361742750372</v>
      </c>
      <c r="C6" s="1204"/>
      <c r="D6" s="1189"/>
      <c r="E6" s="1189"/>
      <c r="F6" s="1207"/>
      <c r="G6" s="1210"/>
      <c r="H6" s="1201"/>
      <c r="I6" s="1189"/>
      <c r="J6" s="1189"/>
      <c r="K6" s="1189"/>
      <c r="L6" s="1193"/>
      <c r="M6" s="575"/>
      <c r="N6" s="1167"/>
      <c r="O6" s="1168"/>
      <c r="Q6" s="573"/>
      <c r="R6" s="1155"/>
      <c r="S6" s="1155"/>
    </row>
    <row r="7" spans="1:19" s="563" customFormat="1">
      <c r="A7" s="576" t="s">
        <v>252</v>
      </c>
      <c r="B7" s="577">
        <f>N57</f>
        <v>9111.1499999999978</v>
      </c>
      <c r="C7" s="578">
        <f>B100</f>
        <v>10666.958214423614</v>
      </c>
      <c r="D7" s="579"/>
      <c r="E7" s="579">
        <f>E100</f>
        <v>0</v>
      </c>
      <c r="F7" s="580"/>
      <c r="G7" s="581"/>
      <c r="H7" s="579">
        <f>I100</f>
        <v>0</v>
      </c>
      <c r="I7" s="579">
        <f>G100+F100</f>
        <v>0</v>
      </c>
      <c r="J7" s="579">
        <f>H100+D100+C100</f>
        <v>51.315669373405051</v>
      </c>
      <c r="K7" s="579"/>
      <c r="L7" s="582"/>
      <c r="M7" s="583">
        <f>C7*$C$11+D7*$D$11+E7*$E$11+F7*$F$11+G7*$G$11+H7*$H$11+I7*$I$11+J7*$J$11</f>
        <v>2154.7255593135701</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24901.360485668221</v>
      </c>
      <c r="C9" s="594">
        <f t="shared" ref="C9:L9" si="0">SUM(C7:C8)</f>
        <v>10666.958214423614</v>
      </c>
      <c r="D9" s="594">
        <f t="shared" si="0"/>
        <v>0</v>
      </c>
      <c r="E9" s="594">
        <f t="shared" si="0"/>
        <v>0</v>
      </c>
      <c r="F9" s="594">
        <f t="shared" si="0"/>
        <v>0</v>
      </c>
      <c r="G9" s="594">
        <f t="shared" si="0"/>
        <v>0</v>
      </c>
      <c r="H9" s="594">
        <f t="shared" si="0"/>
        <v>0</v>
      </c>
      <c r="I9" s="594">
        <f t="shared" si="0"/>
        <v>0</v>
      </c>
      <c r="J9" s="594">
        <f t="shared" si="0"/>
        <v>51.315669373405051</v>
      </c>
      <c r="K9" s="594">
        <f t="shared" si="0"/>
        <v>0</v>
      </c>
      <c r="L9" s="594">
        <f t="shared" si="0"/>
        <v>0</v>
      </c>
      <c r="M9" s="595">
        <f>SUM(M4:M8)</f>
        <v>2154.7255593135701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13031.999999999998</v>
      </c>
      <c r="C16" s="610">
        <f>B101</f>
        <v>15257.3274998621</v>
      </c>
      <c r="D16" s="611"/>
      <c r="E16" s="611">
        <f>E101</f>
        <v>0</v>
      </c>
      <c r="F16" s="612"/>
      <c r="G16" s="613"/>
      <c r="H16" s="610">
        <f>I101</f>
        <v>0</v>
      </c>
      <c r="I16" s="611">
        <f>G101+F101</f>
        <v>0</v>
      </c>
      <c r="J16" s="611">
        <f>H101+D101+C101</f>
        <v>73.39861634088065</v>
      </c>
      <c r="K16" s="611"/>
      <c r="L16" s="614"/>
      <c r="M16" s="615">
        <f>C16*$C$21+E16*$E$21+H16*$H$21+I16*$I$21+J16*$J$21+D16*$D$21+F16*$F$21+G16*$G$21+K16*$K$21+L16*$L$21</f>
        <v>3081.9801549721442</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13031.999999999998</v>
      </c>
      <c r="C19" s="593">
        <f>SUM(C16:C18)</f>
        <v>15257.3274998621</v>
      </c>
      <c r="D19" s="593">
        <f t="shared" ref="D19:M19" si="1">SUM(D16:D18)</f>
        <v>0</v>
      </c>
      <c r="E19" s="593">
        <f t="shared" si="1"/>
        <v>0</v>
      </c>
      <c r="F19" s="593">
        <f t="shared" si="1"/>
        <v>0</v>
      </c>
      <c r="G19" s="593">
        <f t="shared" si="1"/>
        <v>0</v>
      </c>
      <c r="H19" s="593">
        <f t="shared" si="1"/>
        <v>0</v>
      </c>
      <c r="I19" s="593">
        <f t="shared" si="1"/>
        <v>0</v>
      </c>
      <c r="J19" s="593">
        <f t="shared" si="1"/>
        <v>73.39861634088065</v>
      </c>
      <c r="K19" s="593">
        <f t="shared" si="1"/>
        <v>0</v>
      </c>
      <c r="L19" s="593">
        <f t="shared" si="1"/>
        <v>0</v>
      </c>
      <c r="M19" s="620">
        <f t="shared" si="1"/>
        <v>3081.9801549721442</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11022</v>
      </c>
      <c r="C27" s="851">
        <v>2920</v>
      </c>
      <c r="D27" s="672" t="s">
        <v>809</v>
      </c>
      <c r="E27" s="671" t="s">
        <v>810</v>
      </c>
      <c r="F27" s="671" t="s">
        <v>811</v>
      </c>
      <c r="G27" s="671" t="s">
        <v>812</v>
      </c>
      <c r="H27" s="671" t="s">
        <v>813</v>
      </c>
      <c r="I27" s="671" t="s">
        <v>810</v>
      </c>
      <c r="J27" s="850">
        <v>39002</v>
      </c>
      <c r="K27" s="850">
        <v>39007</v>
      </c>
      <c r="L27" s="671" t="s">
        <v>814</v>
      </c>
      <c r="M27" s="671">
        <v>2014</v>
      </c>
      <c r="N27" s="671">
        <v>9062.9999999999982</v>
      </c>
      <c r="O27" s="671">
        <v>12947.142857142855</v>
      </c>
      <c r="P27" s="671">
        <v>25894.28571428571</v>
      </c>
      <c r="Q27" s="671">
        <v>0</v>
      </c>
      <c r="R27" s="671">
        <v>0</v>
      </c>
      <c r="S27" s="671">
        <v>0</v>
      </c>
      <c r="T27" s="671">
        <v>0</v>
      </c>
      <c r="U27" s="671">
        <v>0</v>
      </c>
      <c r="V27" s="671">
        <v>0</v>
      </c>
      <c r="W27" s="671">
        <v>0</v>
      </c>
      <c r="X27" s="671">
        <v>10</v>
      </c>
      <c r="Y27" s="671" t="s">
        <v>112</v>
      </c>
      <c r="Z27" s="673" t="s">
        <v>112</v>
      </c>
    </row>
    <row r="28" spans="1:26" s="625" customFormat="1" ht="25.5">
      <c r="A28" s="624"/>
      <c r="B28" s="851">
        <v>11022</v>
      </c>
      <c r="C28" s="851">
        <v>2920</v>
      </c>
      <c r="D28" s="672" t="s">
        <v>815</v>
      </c>
      <c r="E28" s="671" t="s">
        <v>816</v>
      </c>
      <c r="F28" s="671" t="s">
        <v>817</v>
      </c>
      <c r="G28" s="671" t="s">
        <v>818</v>
      </c>
      <c r="H28" s="671" t="s">
        <v>818</v>
      </c>
      <c r="I28" s="671" t="s">
        <v>816</v>
      </c>
      <c r="J28" s="850">
        <v>40940</v>
      </c>
      <c r="K28" s="850">
        <v>41183</v>
      </c>
      <c r="L28" s="671" t="s">
        <v>814</v>
      </c>
      <c r="M28" s="671">
        <v>1</v>
      </c>
      <c r="N28" s="671">
        <v>4.5</v>
      </c>
      <c r="O28" s="671">
        <v>22.5</v>
      </c>
      <c r="P28" s="671">
        <v>30</v>
      </c>
      <c r="Q28" s="671">
        <v>0</v>
      </c>
      <c r="R28" s="671">
        <v>0</v>
      </c>
      <c r="S28" s="671">
        <v>0</v>
      </c>
      <c r="T28" s="671">
        <v>0</v>
      </c>
      <c r="U28" s="671">
        <v>0</v>
      </c>
      <c r="V28" s="671">
        <v>0</v>
      </c>
      <c r="W28" s="671">
        <v>0</v>
      </c>
      <c r="X28" s="671">
        <v>10</v>
      </c>
      <c r="Y28" s="671" t="s">
        <v>112</v>
      </c>
      <c r="Z28" s="673" t="s">
        <v>112</v>
      </c>
    </row>
    <row r="29" spans="1:26" s="625" customFormat="1" ht="25.5">
      <c r="A29" s="624"/>
      <c r="B29" s="851">
        <v>11022</v>
      </c>
      <c r="C29" s="851">
        <v>2920</v>
      </c>
      <c r="D29" s="672" t="s">
        <v>819</v>
      </c>
      <c r="E29" s="671" t="s">
        <v>820</v>
      </c>
      <c r="F29" s="671" t="s">
        <v>821</v>
      </c>
      <c r="G29" s="671" t="s">
        <v>812</v>
      </c>
      <c r="H29" s="671" t="s">
        <v>813</v>
      </c>
      <c r="I29" s="671" t="s">
        <v>822</v>
      </c>
      <c r="J29" s="850">
        <v>41141</v>
      </c>
      <c r="K29" s="850">
        <v>41275</v>
      </c>
      <c r="L29" s="671" t="s">
        <v>814</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25.5">
      <c r="A30" s="624"/>
      <c r="B30" s="851">
        <v>11022</v>
      </c>
      <c r="C30" s="851">
        <v>2920</v>
      </c>
      <c r="D30" s="672" t="s">
        <v>823</v>
      </c>
      <c r="E30" s="671"/>
      <c r="F30" s="671" t="s">
        <v>824</v>
      </c>
      <c r="G30" s="671" t="s">
        <v>825</v>
      </c>
      <c r="H30" s="671" t="s">
        <v>813</v>
      </c>
      <c r="I30" s="671" t="s">
        <v>826</v>
      </c>
      <c r="J30" s="850">
        <v>38980</v>
      </c>
      <c r="K30" s="850">
        <v>42726</v>
      </c>
      <c r="L30" s="671" t="s">
        <v>827</v>
      </c>
      <c r="M30" s="671">
        <v>2000</v>
      </c>
      <c r="N30" s="671">
        <v>0</v>
      </c>
      <c r="O30" s="671">
        <v>0</v>
      </c>
      <c r="P30" s="671">
        <v>0</v>
      </c>
      <c r="Q30" s="671">
        <v>0</v>
      </c>
      <c r="R30" s="671">
        <v>0</v>
      </c>
      <c r="S30" s="671">
        <v>0</v>
      </c>
      <c r="T30" s="671">
        <v>0</v>
      </c>
      <c r="U30" s="671">
        <v>0</v>
      </c>
      <c r="V30" s="671">
        <v>0</v>
      </c>
      <c r="W30" s="671">
        <v>0</v>
      </c>
      <c r="X30" s="671">
        <v>10</v>
      </c>
      <c r="Y30" s="671" t="s">
        <v>112</v>
      </c>
      <c r="Z30" s="673" t="s">
        <v>112</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4024.7</v>
      </c>
      <c r="N57" s="629">
        <f>SUM(N27:N56)</f>
        <v>9111.1499999999978</v>
      </c>
      <c r="O57" s="629">
        <f t="shared" ref="O57:W57" si="2">SUM(O27:O56)</f>
        <v>13031.999999999998</v>
      </c>
      <c r="P57" s="629">
        <f t="shared" si="2"/>
        <v>25924.28571428571</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4024.7</v>
      </c>
      <c r="N60" s="634">
        <f t="shared" ref="N60:W60" si="4">SUMIF($Z$27:$Z$56,"landbouw",N27:N56)</f>
        <v>9111.1499999999978</v>
      </c>
      <c r="O60" s="634">
        <f t="shared" si="4"/>
        <v>13031.999999999998</v>
      </c>
      <c r="P60" s="634">
        <f t="shared" si="4"/>
        <v>25924.28571428571</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0.58853415164509126</v>
      </c>
      <c r="C97" s="654">
        <f>IF(ISERROR(N57/(O57+N57)),0,N57/(N57+O57))</f>
        <v>0.41146584835490885</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10666.958214423614</v>
      </c>
      <c r="C100" s="663">
        <f t="shared" si="9"/>
        <v>51.315669373405051</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15257.3274998621</v>
      </c>
      <c r="C101" s="666">
        <f t="shared" ref="C101:H101" si="10">$B$97*Q57</f>
        <v>73.39861634088065</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18531.222911653978</v>
      </c>
      <c r="D10" s="718">
        <f ca="1">tertiair!C16</f>
        <v>0</v>
      </c>
      <c r="E10" s="718">
        <f ca="1">tertiair!D16</f>
        <v>30090.304729191623</v>
      </c>
      <c r="F10" s="718">
        <f>tertiair!E16</f>
        <v>288.24361442154219</v>
      </c>
      <c r="G10" s="718">
        <f ca="1">tertiair!F16</f>
        <v>3208.7530891777787</v>
      </c>
      <c r="H10" s="718">
        <f>tertiair!G16</f>
        <v>0</v>
      </c>
      <c r="I10" s="718">
        <f>tertiair!H16</f>
        <v>0</v>
      </c>
      <c r="J10" s="718">
        <f>tertiair!I16</f>
        <v>0</v>
      </c>
      <c r="K10" s="718">
        <f>tertiair!J16</f>
        <v>6.4349441703966809E-2</v>
      </c>
      <c r="L10" s="718">
        <f>tertiair!K16</f>
        <v>0</v>
      </c>
      <c r="M10" s="718">
        <f ca="1">tertiair!L16</f>
        <v>0</v>
      </c>
      <c r="N10" s="718">
        <f>tertiair!M16</f>
        <v>0</v>
      </c>
      <c r="O10" s="718">
        <f ca="1">tertiair!N16</f>
        <v>2540.9500670202601</v>
      </c>
      <c r="P10" s="718">
        <f>tertiair!O16</f>
        <v>0</v>
      </c>
      <c r="Q10" s="719">
        <f>tertiair!P16</f>
        <v>76.266666666666666</v>
      </c>
      <c r="R10" s="721">
        <f ca="1">SUM(C10:Q10)</f>
        <v>54735.805427573549</v>
      </c>
      <c r="S10" s="67"/>
    </row>
    <row r="11" spans="1:19" s="474" customFormat="1">
      <c r="A11" s="870" t="s">
        <v>225</v>
      </c>
      <c r="B11" s="875"/>
      <c r="C11" s="718">
        <f>huishoudens!B8</f>
        <v>34321.441612004841</v>
      </c>
      <c r="D11" s="718">
        <f>huishoudens!C8</f>
        <v>0</v>
      </c>
      <c r="E11" s="718">
        <f>huishoudens!D8</f>
        <v>104092.24780290871</v>
      </c>
      <c r="F11" s="718">
        <f>huishoudens!E8</f>
        <v>2816.5715358436714</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18077.594779956675</v>
      </c>
      <c r="P11" s="718">
        <f>huishoudens!O8</f>
        <v>314.23</v>
      </c>
      <c r="Q11" s="719">
        <f>huishoudens!P8</f>
        <v>1296.5333333333333</v>
      </c>
      <c r="R11" s="721">
        <f>SUM(C11:Q11)</f>
        <v>160918.61906404721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17872.997376433552</v>
      </c>
      <c r="D13" s="718">
        <f>industrie!C18</f>
        <v>0</v>
      </c>
      <c r="E13" s="718">
        <f>industrie!D18</f>
        <v>14813.691185720658</v>
      </c>
      <c r="F13" s="718">
        <f>industrie!E18</f>
        <v>792.25048489780693</v>
      </c>
      <c r="G13" s="718">
        <f>industrie!F18</f>
        <v>3059.7728119989556</v>
      </c>
      <c r="H13" s="718">
        <f>industrie!G18</f>
        <v>0</v>
      </c>
      <c r="I13" s="718">
        <f>industrie!H18</f>
        <v>0</v>
      </c>
      <c r="J13" s="718">
        <f>industrie!I18</f>
        <v>0</v>
      </c>
      <c r="K13" s="718">
        <f>industrie!J18</f>
        <v>22.342031583608065</v>
      </c>
      <c r="L13" s="718">
        <f>industrie!K18</f>
        <v>0</v>
      </c>
      <c r="M13" s="718">
        <f>industrie!L18</f>
        <v>0</v>
      </c>
      <c r="N13" s="718">
        <f>industrie!M18</f>
        <v>0</v>
      </c>
      <c r="O13" s="718">
        <f>industrie!N18</f>
        <v>2933.0480977712414</v>
      </c>
      <c r="P13" s="718">
        <f>industrie!O18</f>
        <v>0</v>
      </c>
      <c r="Q13" s="719">
        <f>industrie!P18</f>
        <v>0</v>
      </c>
      <c r="R13" s="721">
        <f>SUM(C13:Q13)</f>
        <v>39494.101988405819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70725.661900092382</v>
      </c>
      <c r="D15" s="723">
        <f t="shared" ref="D15:Q15" ca="1" si="0">SUM(D9:D14)</f>
        <v>0</v>
      </c>
      <c r="E15" s="723">
        <f t="shared" ca="1" si="0"/>
        <v>148996.24371782097</v>
      </c>
      <c r="F15" s="723">
        <f t="shared" si="0"/>
        <v>3897.0656351630205</v>
      </c>
      <c r="G15" s="723">
        <f t="shared" ca="1" si="0"/>
        <v>6268.5259011767339</v>
      </c>
      <c r="H15" s="723">
        <f t="shared" si="0"/>
        <v>0</v>
      </c>
      <c r="I15" s="723">
        <f t="shared" si="0"/>
        <v>0</v>
      </c>
      <c r="J15" s="723">
        <f t="shared" si="0"/>
        <v>0</v>
      </c>
      <c r="K15" s="723">
        <f t="shared" si="0"/>
        <v>22.406381025312033</v>
      </c>
      <c r="L15" s="723">
        <f t="shared" si="0"/>
        <v>0</v>
      </c>
      <c r="M15" s="723">
        <f t="shared" ca="1" si="0"/>
        <v>0</v>
      </c>
      <c r="N15" s="723">
        <f t="shared" si="0"/>
        <v>0</v>
      </c>
      <c r="O15" s="723">
        <f t="shared" ca="1" si="0"/>
        <v>23551.592944748176</v>
      </c>
      <c r="P15" s="723">
        <f t="shared" si="0"/>
        <v>314.23</v>
      </c>
      <c r="Q15" s="724">
        <f t="shared" si="0"/>
        <v>1372.8</v>
      </c>
      <c r="R15" s="725">
        <f ca="1">SUM(R9:R14)</f>
        <v>255148.52648002654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903.40035957659825</v>
      </c>
      <c r="I18" s="718">
        <f>transport!H54</f>
        <v>0</v>
      </c>
      <c r="J18" s="718">
        <f>transport!I54</f>
        <v>0</v>
      </c>
      <c r="K18" s="718">
        <f>transport!J54</f>
        <v>0</v>
      </c>
      <c r="L18" s="718">
        <f>transport!K54</f>
        <v>0</v>
      </c>
      <c r="M18" s="718">
        <f>transport!L54</f>
        <v>0</v>
      </c>
      <c r="N18" s="718">
        <f>transport!M54</f>
        <v>51.309152294057583</v>
      </c>
      <c r="O18" s="718">
        <f>transport!N54</f>
        <v>0</v>
      </c>
      <c r="P18" s="718">
        <f>transport!O54</f>
        <v>0</v>
      </c>
      <c r="Q18" s="719">
        <f>transport!P54</f>
        <v>0</v>
      </c>
      <c r="R18" s="721">
        <f>SUM(C18:Q18)</f>
        <v>954.70951187065589</v>
      </c>
      <c r="S18" s="67"/>
    </row>
    <row r="19" spans="1:19" s="474" customFormat="1" ht="15" thickBot="1">
      <c r="A19" s="870" t="s">
        <v>307</v>
      </c>
      <c r="B19" s="875"/>
      <c r="C19" s="727">
        <f>transport!B14</f>
        <v>36.724331102602285</v>
      </c>
      <c r="D19" s="727">
        <f>transport!C14</f>
        <v>0</v>
      </c>
      <c r="E19" s="727">
        <f>transport!D14</f>
        <v>125.71523124156954</v>
      </c>
      <c r="F19" s="727">
        <f>transport!E14</f>
        <v>168.15491570032702</v>
      </c>
      <c r="G19" s="727">
        <f>transport!F14</f>
        <v>0</v>
      </c>
      <c r="H19" s="727">
        <f>transport!G14</f>
        <v>58173.289947614547</v>
      </c>
      <c r="I19" s="727">
        <f>transport!H14</f>
        <v>14186.703775531914</v>
      </c>
      <c r="J19" s="727">
        <f>transport!I14</f>
        <v>0</v>
      </c>
      <c r="K19" s="727">
        <f>transport!J14</f>
        <v>0</v>
      </c>
      <c r="L19" s="727">
        <f>transport!K14</f>
        <v>0</v>
      </c>
      <c r="M19" s="727">
        <f>transport!L14</f>
        <v>0</v>
      </c>
      <c r="N19" s="727">
        <f>transport!M14</f>
        <v>3819.8502028838775</v>
      </c>
      <c r="O19" s="727">
        <f>transport!N14</f>
        <v>0</v>
      </c>
      <c r="P19" s="727">
        <f>transport!O14</f>
        <v>0</v>
      </c>
      <c r="Q19" s="728">
        <f>transport!P14</f>
        <v>0</v>
      </c>
      <c r="R19" s="729">
        <f>SUM(C19:Q19)</f>
        <v>76510.438404074841</v>
      </c>
      <c r="S19" s="67"/>
    </row>
    <row r="20" spans="1:19" s="474" customFormat="1" ht="15.75" thickBot="1">
      <c r="A20" s="730" t="s">
        <v>230</v>
      </c>
      <c r="B20" s="878"/>
      <c r="C20" s="873">
        <f>SUM(C17:C19)</f>
        <v>36.724331102602285</v>
      </c>
      <c r="D20" s="731">
        <f t="shared" ref="D20:R20" si="1">SUM(D17:D19)</f>
        <v>0</v>
      </c>
      <c r="E20" s="731">
        <f t="shared" si="1"/>
        <v>125.71523124156954</v>
      </c>
      <c r="F20" s="731">
        <f t="shared" si="1"/>
        <v>168.15491570032702</v>
      </c>
      <c r="G20" s="731">
        <f t="shared" si="1"/>
        <v>0</v>
      </c>
      <c r="H20" s="731">
        <f t="shared" si="1"/>
        <v>59076.690307191144</v>
      </c>
      <c r="I20" s="731">
        <f t="shared" si="1"/>
        <v>14186.703775531914</v>
      </c>
      <c r="J20" s="731">
        <f t="shared" si="1"/>
        <v>0</v>
      </c>
      <c r="K20" s="731">
        <f t="shared" si="1"/>
        <v>0</v>
      </c>
      <c r="L20" s="731">
        <f t="shared" si="1"/>
        <v>0</v>
      </c>
      <c r="M20" s="731">
        <f t="shared" si="1"/>
        <v>0</v>
      </c>
      <c r="N20" s="731">
        <f t="shared" si="1"/>
        <v>3871.1593551779351</v>
      </c>
      <c r="O20" s="731">
        <f t="shared" si="1"/>
        <v>0</v>
      </c>
      <c r="P20" s="731">
        <f t="shared" si="1"/>
        <v>0</v>
      </c>
      <c r="Q20" s="732">
        <f t="shared" si="1"/>
        <v>0</v>
      </c>
      <c r="R20" s="733">
        <f t="shared" si="1"/>
        <v>77465.14791594549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3140.8879129128281</v>
      </c>
      <c r="D22" s="727">
        <f>+landbouw!C8</f>
        <v>13031.999999999998</v>
      </c>
      <c r="E22" s="727">
        <f>+landbouw!D8</f>
        <v>9149.415429792869</v>
      </c>
      <c r="F22" s="727">
        <f>+landbouw!E8</f>
        <v>92.32028913947623</v>
      </c>
      <c r="G22" s="727">
        <f>+landbouw!F8</f>
        <v>13084.769320520481</v>
      </c>
      <c r="H22" s="727">
        <f>+landbouw!G8</f>
        <v>0</v>
      </c>
      <c r="I22" s="727">
        <f>+landbouw!H8</f>
        <v>0</v>
      </c>
      <c r="J22" s="727">
        <f>+landbouw!I8</f>
        <v>0</v>
      </c>
      <c r="K22" s="727">
        <f>+landbouw!J8</f>
        <v>455.04720724103112</v>
      </c>
      <c r="L22" s="727">
        <f>+landbouw!K8</f>
        <v>0</v>
      </c>
      <c r="M22" s="727">
        <f>+landbouw!L8</f>
        <v>0</v>
      </c>
      <c r="N22" s="727">
        <f>+landbouw!M8</f>
        <v>0</v>
      </c>
      <c r="O22" s="727">
        <f>+landbouw!N8</f>
        <v>0</v>
      </c>
      <c r="P22" s="727">
        <f>+landbouw!O8</f>
        <v>0</v>
      </c>
      <c r="Q22" s="728">
        <f>+landbouw!P8</f>
        <v>0</v>
      </c>
      <c r="R22" s="729">
        <f>SUM(C22:Q22)</f>
        <v>38954.440159606689</v>
      </c>
      <c r="S22" s="67"/>
    </row>
    <row r="23" spans="1:19" s="474" customFormat="1" ht="17.25" thickTop="1" thickBot="1">
      <c r="A23" s="734" t="s">
        <v>116</v>
      </c>
      <c r="B23" s="864"/>
      <c r="C23" s="735">
        <f ca="1">C20+C15+C22</f>
        <v>73903.274144107811</v>
      </c>
      <c r="D23" s="735">
        <f t="shared" ref="D23:Q23" ca="1" si="2">D20+D15+D22</f>
        <v>13031.999999999998</v>
      </c>
      <c r="E23" s="735">
        <f t="shared" ca="1" si="2"/>
        <v>158271.3743788554</v>
      </c>
      <c r="F23" s="735">
        <f t="shared" si="2"/>
        <v>4157.5408400028236</v>
      </c>
      <c r="G23" s="735">
        <f t="shared" ca="1" si="2"/>
        <v>19353.295221697215</v>
      </c>
      <c r="H23" s="735">
        <f t="shared" si="2"/>
        <v>59076.690307191144</v>
      </c>
      <c r="I23" s="735">
        <f t="shared" si="2"/>
        <v>14186.703775531914</v>
      </c>
      <c r="J23" s="735">
        <f t="shared" si="2"/>
        <v>0</v>
      </c>
      <c r="K23" s="735">
        <f t="shared" si="2"/>
        <v>477.45358826634316</v>
      </c>
      <c r="L23" s="735">
        <f t="shared" si="2"/>
        <v>0</v>
      </c>
      <c r="M23" s="735">
        <f t="shared" ca="1" si="2"/>
        <v>0</v>
      </c>
      <c r="N23" s="735">
        <f t="shared" si="2"/>
        <v>3871.1593551779351</v>
      </c>
      <c r="O23" s="735">
        <f t="shared" ca="1" si="2"/>
        <v>23551.592944748176</v>
      </c>
      <c r="P23" s="735">
        <f t="shared" si="2"/>
        <v>314.23</v>
      </c>
      <c r="Q23" s="736">
        <f t="shared" si="2"/>
        <v>1372.8</v>
      </c>
      <c r="R23" s="737">
        <f ca="1">R20+R15+R22</f>
        <v>371568.11455557874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3255.7711758679952</v>
      </c>
      <c r="D36" s="718">
        <f ca="1">tertiair!C20</f>
        <v>0</v>
      </c>
      <c r="E36" s="718">
        <f ca="1">tertiair!D20</f>
        <v>6078.2415552967086</v>
      </c>
      <c r="F36" s="718">
        <f>tertiair!E20</f>
        <v>65.431300473690072</v>
      </c>
      <c r="G36" s="718">
        <f ca="1">tertiair!F20</f>
        <v>856.73707481046699</v>
      </c>
      <c r="H36" s="718">
        <f>tertiair!G20</f>
        <v>0</v>
      </c>
      <c r="I36" s="718">
        <f>tertiair!H20</f>
        <v>0</v>
      </c>
      <c r="J36" s="718">
        <f>tertiair!I20</f>
        <v>0</v>
      </c>
      <c r="K36" s="718">
        <f>tertiair!J20</f>
        <v>2.277970236320425E-2</v>
      </c>
      <c r="L36" s="718">
        <f>tertiair!K20</f>
        <v>0</v>
      </c>
      <c r="M36" s="718">
        <f ca="1">tertiair!L20</f>
        <v>0</v>
      </c>
      <c r="N36" s="718">
        <f>tertiair!M20</f>
        <v>0</v>
      </c>
      <c r="O36" s="718">
        <f ca="1">tertiair!N20</f>
        <v>0</v>
      </c>
      <c r="P36" s="718">
        <f>tertiair!O20</f>
        <v>0</v>
      </c>
      <c r="Q36" s="828">
        <f>tertiair!P20</f>
        <v>0</v>
      </c>
      <c r="R36" s="917">
        <f ca="1">SUM(C36:Q36)</f>
        <v>10256.203886151226</v>
      </c>
    </row>
    <row r="37" spans="1:18">
      <c r="A37" s="885" t="s">
        <v>225</v>
      </c>
      <c r="B37" s="892"/>
      <c r="C37" s="718">
        <f ca="1">huishoudens!B12</f>
        <v>6029.9722715184962</v>
      </c>
      <c r="D37" s="718">
        <f ca="1">huishoudens!C12</f>
        <v>0</v>
      </c>
      <c r="E37" s="718">
        <f>huishoudens!D12</f>
        <v>21026.634056187559</v>
      </c>
      <c r="F37" s="718">
        <f>huishoudens!E12</f>
        <v>639.36173863651345</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27695.968066342568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3140.1267990771235</v>
      </c>
      <c r="D39" s="718">
        <f ca="1">industrie!C22</f>
        <v>0</v>
      </c>
      <c r="E39" s="718">
        <f>industrie!D22</f>
        <v>2992.3656195155731</v>
      </c>
      <c r="F39" s="718">
        <f>industrie!E22</f>
        <v>179.84086007180218</v>
      </c>
      <c r="G39" s="718">
        <f>industrie!F22</f>
        <v>816.95934080372115</v>
      </c>
      <c r="H39" s="718">
        <f>industrie!G22</f>
        <v>0</v>
      </c>
      <c r="I39" s="718">
        <f>industrie!H22</f>
        <v>0</v>
      </c>
      <c r="J39" s="718">
        <f>industrie!I22</f>
        <v>0</v>
      </c>
      <c r="K39" s="718">
        <f>industrie!J22</f>
        <v>7.9090791805972547</v>
      </c>
      <c r="L39" s="718">
        <f>industrie!K22</f>
        <v>0</v>
      </c>
      <c r="M39" s="718">
        <f>industrie!L22</f>
        <v>0</v>
      </c>
      <c r="N39" s="718">
        <f>industrie!M22</f>
        <v>0</v>
      </c>
      <c r="O39" s="718">
        <f>industrie!N22</f>
        <v>0</v>
      </c>
      <c r="P39" s="718">
        <f>industrie!O22</f>
        <v>0</v>
      </c>
      <c r="Q39" s="828">
        <f>industrie!P22</f>
        <v>0</v>
      </c>
      <c r="R39" s="918">
        <f ca="1">SUM(C39:Q39)</f>
        <v>7137.201698648817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12425.870246463615</v>
      </c>
      <c r="D41" s="763">
        <f t="shared" ref="D41:R41" ca="1" si="4">SUM(D35:D40)</f>
        <v>0</v>
      </c>
      <c r="E41" s="763">
        <f t="shared" ca="1" si="4"/>
        <v>30097.241230999844</v>
      </c>
      <c r="F41" s="763">
        <f t="shared" si="4"/>
        <v>884.63389918200573</v>
      </c>
      <c r="G41" s="763">
        <f t="shared" ca="1" si="4"/>
        <v>1673.696415614188</v>
      </c>
      <c r="H41" s="763">
        <f t="shared" si="4"/>
        <v>0</v>
      </c>
      <c r="I41" s="763">
        <f t="shared" si="4"/>
        <v>0</v>
      </c>
      <c r="J41" s="763">
        <f t="shared" si="4"/>
        <v>0</v>
      </c>
      <c r="K41" s="763">
        <f t="shared" si="4"/>
        <v>7.9318588829604586</v>
      </c>
      <c r="L41" s="763">
        <f t="shared" si="4"/>
        <v>0</v>
      </c>
      <c r="M41" s="763">
        <f t="shared" ca="1" si="4"/>
        <v>0</v>
      </c>
      <c r="N41" s="763">
        <f t="shared" si="4"/>
        <v>0</v>
      </c>
      <c r="O41" s="763">
        <f t="shared" ca="1" si="4"/>
        <v>0</v>
      </c>
      <c r="P41" s="763">
        <f t="shared" si="4"/>
        <v>0</v>
      </c>
      <c r="Q41" s="764">
        <f t="shared" si="4"/>
        <v>0</v>
      </c>
      <c r="R41" s="765">
        <f t="shared" ca="1" si="4"/>
        <v>45089.37365114261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241.20789600695176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241.20789600695176</v>
      </c>
    </row>
    <row r="45" spans="1:18" ht="15" thickBot="1">
      <c r="A45" s="888" t="s">
        <v>307</v>
      </c>
      <c r="B45" s="898"/>
      <c r="C45" s="727">
        <f ca="1">transport!B18</f>
        <v>6.4521386001833667</v>
      </c>
      <c r="D45" s="727">
        <f>transport!C18</f>
        <v>0</v>
      </c>
      <c r="E45" s="727">
        <f>transport!D18</f>
        <v>25.394476710797047</v>
      </c>
      <c r="F45" s="727">
        <f>transport!E18</f>
        <v>38.171165863974238</v>
      </c>
      <c r="G45" s="727">
        <f>transport!F18</f>
        <v>0</v>
      </c>
      <c r="H45" s="727">
        <f>transport!G18</f>
        <v>15532.268416013085</v>
      </c>
      <c r="I45" s="727">
        <f>transport!H18</f>
        <v>3532.4892401074467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19134.775437295488</v>
      </c>
    </row>
    <row r="46" spans="1:18" ht="15.75" thickBot="1">
      <c r="A46" s="886" t="s">
        <v>230</v>
      </c>
      <c r="B46" s="899"/>
      <c r="C46" s="763">
        <f t="shared" ref="C46:R46" ca="1" si="5">SUM(C43:C45)</f>
        <v>6.4521386001833667</v>
      </c>
      <c r="D46" s="763">
        <f t="shared" ca="1" si="5"/>
        <v>0</v>
      </c>
      <c r="E46" s="763">
        <f t="shared" si="5"/>
        <v>25.394476710797047</v>
      </c>
      <c r="F46" s="763">
        <f t="shared" si="5"/>
        <v>38.171165863974238</v>
      </c>
      <c r="G46" s="763">
        <f t="shared" si="5"/>
        <v>0</v>
      </c>
      <c r="H46" s="763">
        <f t="shared" si="5"/>
        <v>15773.476312020037</v>
      </c>
      <c r="I46" s="763">
        <f t="shared" si="5"/>
        <v>3532.4892401074467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19375.98333330244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551.82609276491962</v>
      </c>
      <c r="D48" s="718">
        <f ca="1">+landbouw!C12</f>
        <v>3081.9801549721442</v>
      </c>
      <c r="E48" s="718">
        <f>+landbouw!D12</f>
        <v>1848.1819168181596</v>
      </c>
      <c r="F48" s="718">
        <f>+landbouw!E12</f>
        <v>20.956705634661105</v>
      </c>
      <c r="G48" s="718">
        <f>+landbouw!F12</f>
        <v>3493.6334085789686</v>
      </c>
      <c r="H48" s="718">
        <f>+landbouw!G12</f>
        <v>0</v>
      </c>
      <c r="I48" s="718">
        <f>+landbouw!H12</f>
        <v>0</v>
      </c>
      <c r="J48" s="718">
        <f>+landbouw!I12</f>
        <v>0</v>
      </c>
      <c r="K48" s="718">
        <f>+landbouw!J12</f>
        <v>161.08671136332501</v>
      </c>
      <c r="L48" s="718">
        <f>+landbouw!K12</f>
        <v>0</v>
      </c>
      <c r="M48" s="718">
        <f>+landbouw!L12</f>
        <v>0</v>
      </c>
      <c r="N48" s="718">
        <f>+landbouw!M12</f>
        <v>0</v>
      </c>
      <c r="O48" s="718">
        <f>+landbouw!N12</f>
        <v>0</v>
      </c>
      <c r="P48" s="718">
        <f>+landbouw!O12</f>
        <v>0</v>
      </c>
      <c r="Q48" s="719">
        <f>+landbouw!P12</f>
        <v>0</v>
      </c>
      <c r="R48" s="761">
        <f ca="1">SUM(C48:Q48)</f>
        <v>9157.664990132178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12984.148477828718</v>
      </c>
      <c r="D53" s="773">
        <f t="shared" ref="D53:Q53" ca="1" si="6">D41+D46+D48</f>
        <v>3081.9801549721442</v>
      </c>
      <c r="E53" s="773">
        <f t="shared" ca="1" si="6"/>
        <v>31970.817624528801</v>
      </c>
      <c r="F53" s="773">
        <f t="shared" si="6"/>
        <v>943.76177068064112</v>
      </c>
      <c r="G53" s="773">
        <f t="shared" ca="1" si="6"/>
        <v>5167.329824193157</v>
      </c>
      <c r="H53" s="773">
        <f t="shared" si="6"/>
        <v>15773.476312020037</v>
      </c>
      <c r="I53" s="773">
        <f t="shared" si="6"/>
        <v>3532.4892401074467</v>
      </c>
      <c r="J53" s="773">
        <f t="shared" si="6"/>
        <v>0</v>
      </c>
      <c r="K53" s="773">
        <f t="shared" si="6"/>
        <v>169.01857024628546</v>
      </c>
      <c r="L53" s="773">
        <f t="shared" si="6"/>
        <v>0</v>
      </c>
      <c r="M53" s="773">
        <f t="shared" ca="1" si="6"/>
        <v>0</v>
      </c>
      <c r="N53" s="773">
        <f t="shared" si="6"/>
        <v>0</v>
      </c>
      <c r="O53" s="773">
        <f t="shared" ca="1" si="6"/>
        <v>0</v>
      </c>
      <c r="P53" s="773">
        <f>P41+P46+P48</f>
        <v>0</v>
      </c>
      <c r="Q53" s="774">
        <f t="shared" si="6"/>
        <v>0</v>
      </c>
      <c r="R53" s="775">
        <f ca="1">R41+R46+R48</f>
        <v>73623.021974577234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0.17569111285259509</v>
      </c>
      <c r="D55" s="836">
        <f t="shared" ca="1" si="7"/>
        <v>0.23649325928269987</v>
      </c>
      <c r="E55" s="836">
        <f t="shared" ca="1" si="7"/>
        <v>0.20200000000000007</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10592.474311393187</v>
      </c>
      <c r="C64" s="795">
        <f>'lokale energieproductie'!B4</f>
        <v>10592.474311393187</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5197.7361742750372</v>
      </c>
      <c r="C66" s="795">
        <f>'lokale energieproductie'!B6</f>
        <v>5197.7361742750372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9111.1499999999978</v>
      </c>
      <c r="C67" s="794">
        <f>B67*IFERROR(SUM(J67:L67)/SUM(D67:M67),0)</f>
        <v>43.621273917836149</v>
      </c>
      <c r="D67" s="826">
        <f>'lokale energieproductie'!C7</f>
        <v>10666.958214423614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51.315669373405051</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2154.7255593135701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24901.360485668221</v>
      </c>
      <c r="C69" s="803">
        <f>SUM(C64:C68)</f>
        <v>15833.831759586059</v>
      </c>
      <c r="D69" s="804">
        <f t="shared" ref="D69:M69" si="8">SUM(D67:D68)</f>
        <v>10666.958214423614</v>
      </c>
      <c r="E69" s="804">
        <f t="shared" si="8"/>
        <v>0</v>
      </c>
      <c r="F69" s="804">
        <f t="shared" si="8"/>
        <v>0</v>
      </c>
      <c r="G69" s="804">
        <f t="shared" si="8"/>
        <v>0</v>
      </c>
      <c r="H69" s="804">
        <f t="shared" si="8"/>
        <v>0</v>
      </c>
      <c r="I69" s="804">
        <f t="shared" si="8"/>
        <v>0</v>
      </c>
      <c r="J69" s="804">
        <f t="shared" si="8"/>
        <v>0</v>
      </c>
      <c r="K69" s="804">
        <f t="shared" si="8"/>
        <v>51.315669373405051</v>
      </c>
      <c r="L69" s="804">
        <f t="shared" si="8"/>
        <v>0</v>
      </c>
      <c r="M69" s="930">
        <f t="shared" si="8"/>
        <v>0</v>
      </c>
      <c r="N69" s="805">
        <v>0</v>
      </c>
      <c r="O69" s="805">
        <f>SUM(O67:O68)</f>
        <v>2154.7255593135701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13031.999999999998</v>
      </c>
      <c r="C78" s="817">
        <f>B78*IFERROR(SUM(I78:L78)/SUM(D78:M78),0)</f>
        <v>62.393050459847636</v>
      </c>
      <c r="D78" s="832">
        <f>'lokale energieproductie'!C16</f>
        <v>15257.3274998621</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73.39861634088065</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3081.9801549721442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13031.999999999998</v>
      </c>
      <c r="C81" s="803">
        <f>SUM(C78:C80)</f>
        <v>62.393050459847636</v>
      </c>
      <c r="D81" s="803">
        <f t="shared" ref="D81:P81" si="9">SUM(D78:D80)</f>
        <v>15257.3274998621</v>
      </c>
      <c r="E81" s="803">
        <f t="shared" si="9"/>
        <v>0</v>
      </c>
      <c r="F81" s="803">
        <f t="shared" si="9"/>
        <v>0</v>
      </c>
      <c r="G81" s="803">
        <f t="shared" si="9"/>
        <v>0</v>
      </c>
      <c r="H81" s="803">
        <f t="shared" si="9"/>
        <v>0</v>
      </c>
      <c r="I81" s="803">
        <f t="shared" si="9"/>
        <v>0</v>
      </c>
      <c r="J81" s="803">
        <f t="shared" si="9"/>
        <v>0</v>
      </c>
      <c r="K81" s="803">
        <f t="shared" si="9"/>
        <v>73.39861634088065</v>
      </c>
      <c r="L81" s="803">
        <f t="shared" si="9"/>
        <v>0</v>
      </c>
      <c r="M81" s="803">
        <f t="shared" si="9"/>
        <v>0</v>
      </c>
      <c r="N81" s="803">
        <v>0</v>
      </c>
      <c r="O81" s="803">
        <f>SUM(O78:O80)</f>
        <v>3081.9801549721442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34321.441612004841</v>
      </c>
      <c r="C4" s="478">
        <f>huishoudens!C8</f>
        <v>0</v>
      </c>
      <c r="D4" s="478">
        <f>huishoudens!D8</f>
        <v>104092.24780290871</v>
      </c>
      <c r="E4" s="478">
        <f>huishoudens!E8</f>
        <v>2816.5715358436714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18077.594779956675</v>
      </c>
      <c r="O4" s="478">
        <f>huishoudens!O8</f>
        <v>314.23</v>
      </c>
      <c r="P4" s="479">
        <f>huishoudens!P8</f>
        <v>1296.5333333333333</v>
      </c>
      <c r="Q4" s="480">
        <f>SUM(B4:P4)</f>
        <v>160918.61906404721</v>
      </c>
    </row>
    <row r="5" spans="1:17">
      <c r="A5" s="477" t="s">
        <v>156</v>
      </c>
      <c r="B5" s="478">
        <f ca="1">tertiair!B16</f>
        <v>17430.720911653978</v>
      </c>
      <c r="C5" s="478">
        <f ca="1">tertiair!C16</f>
        <v>0</v>
      </c>
      <c r="D5" s="478">
        <f ca="1">tertiair!D16</f>
        <v>30090.304729191623</v>
      </c>
      <c r="E5" s="478">
        <f>tertiair!E16</f>
        <v>288.24361442154219</v>
      </c>
      <c r="F5" s="478">
        <f ca="1">tertiair!F16</f>
        <v>3208.7530891777787</v>
      </c>
      <c r="G5" s="478">
        <f>tertiair!G16</f>
        <v>0</v>
      </c>
      <c r="H5" s="478">
        <f>tertiair!H16</f>
        <v>0</v>
      </c>
      <c r="I5" s="478">
        <f>tertiair!I16</f>
        <v>0</v>
      </c>
      <c r="J5" s="478">
        <f>tertiair!J16</f>
        <v>6.4349441703966809E-2</v>
      </c>
      <c r="K5" s="478">
        <f>tertiair!K16</f>
        <v>0</v>
      </c>
      <c r="L5" s="478">
        <f ca="1">tertiair!L16</f>
        <v>0</v>
      </c>
      <c r="M5" s="478">
        <f>tertiair!M16</f>
        <v>0</v>
      </c>
      <c r="N5" s="478">
        <f ca="1">tertiair!N16</f>
        <v>2540.9500670202601</v>
      </c>
      <c r="O5" s="478">
        <f>tertiair!O16</f>
        <v>0</v>
      </c>
      <c r="P5" s="479">
        <f>tertiair!P16</f>
        <v>76.266666666666666</v>
      </c>
      <c r="Q5" s="477">
        <f t="shared" ref="Q5:Q13" ca="1" si="0">SUM(B5:P5)</f>
        <v>53635.303427573555</v>
      </c>
    </row>
    <row r="6" spans="1:17">
      <c r="A6" s="477" t="s">
        <v>194</v>
      </c>
      <c r="B6" s="478">
        <f>'openbare verlichting'!B8</f>
        <v>1100.502</v>
      </c>
      <c r="C6" s="478"/>
      <c r="D6" s="478"/>
      <c r="E6" s="478"/>
      <c r="F6" s="478"/>
      <c r="G6" s="478"/>
      <c r="H6" s="478"/>
      <c r="I6" s="478"/>
      <c r="J6" s="478"/>
      <c r="K6" s="478"/>
      <c r="L6" s="478"/>
      <c r="M6" s="478"/>
      <c r="N6" s="478"/>
      <c r="O6" s="478"/>
      <c r="P6" s="479"/>
      <c r="Q6" s="477">
        <f t="shared" si="0"/>
        <v>1100.502</v>
      </c>
    </row>
    <row r="7" spans="1:17">
      <c r="A7" s="477" t="s">
        <v>112</v>
      </c>
      <c r="B7" s="478">
        <f>landbouw!B8</f>
        <v>3140.8879129128281</v>
      </c>
      <c r="C7" s="478">
        <f>landbouw!C8</f>
        <v>13031.999999999998</v>
      </c>
      <c r="D7" s="478">
        <f>landbouw!D8</f>
        <v>9149.415429792869</v>
      </c>
      <c r="E7" s="478">
        <f>landbouw!E8</f>
        <v>92.32028913947623</v>
      </c>
      <c r="F7" s="478">
        <f>landbouw!F8</f>
        <v>13084.769320520481</v>
      </c>
      <c r="G7" s="478">
        <f>landbouw!G8</f>
        <v>0</v>
      </c>
      <c r="H7" s="478">
        <f>landbouw!H8</f>
        <v>0</v>
      </c>
      <c r="I7" s="478">
        <f>landbouw!I8</f>
        <v>0</v>
      </c>
      <c r="J7" s="478">
        <f>landbouw!J8</f>
        <v>455.04720724103112</v>
      </c>
      <c r="K7" s="478">
        <f>landbouw!K8</f>
        <v>0</v>
      </c>
      <c r="L7" s="478">
        <f>landbouw!L8</f>
        <v>0</v>
      </c>
      <c r="M7" s="478">
        <f>landbouw!M8</f>
        <v>0</v>
      </c>
      <c r="N7" s="478">
        <f>landbouw!N8</f>
        <v>0</v>
      </c>
      <c r="O7" s="478">
        <f>landbouw!O8</f>
        <v>0</v>
      </c>
      <c r="P7" s="479">
        <f>landbouw!P8</f>
        <v>0</v>
      </c>
      <c r="Q7" s="477">
        <f t="shared" si="0"/>
        <v>38954.440159606689</v>
      </c>
    </row>
    <row r="8" spans="1:17">
      <c r="A8" s="477" t="s">
        <v>635</v>
      </c>
      <c r="B8" s="478">
        <f>industrie!B18</f>
        <v>17872.997376433552</v>
      </c>
      <c r="C8" s="478">
        <f>industrie!C18</f>
        <v>0</v>
      </c>
      <c r="D8" s="478">
        <f>industrie!D18</f>
        <v>14813.691185720658</v>
      </c>
      <c r="E8" s="478">
        <f>industrie!E18</f>
        <v>792.25048489780693</v>
      </c>
      <c r="F8" s="478">
        <f>industrie!F18</f>
        <v>3059.7728119989556</v>
      </c>
      <c r="G8" s="478">
        <f>industrie!G18</f>
        <v>0</v>
      </c>
      <c r="H8" s="478">
        <f>industrie!H18</f>
        <v>0</v>
      </c>
      <c r="I8" s="478">
        <f>industrie!I18</f>
        <v>0</v>
      </c>
      <c r="J8" s="478">
        <f>industrie!J18</f>
        <v>22.342031583608065</v>
      </c>
      <c r="K8" s="478">
        <f>industrie!K18</f>
        <v>0</v>
      </c>
      <c r="L8" s="478">
        <f>industrie!L18</f>
        <v>0</v>
      </c>
      <c r="M8" s="478">
        <f>industrie!M18</f>
        <v>0</v>
      </c>
      <c r="N8" s="478">
        <f>industrie!N18</f>
        <v>2933.0480977712414</v>
      </c>
      <c r="O8" s="478">
        <f>industrie!O18</f>
        <v>0</v>
      </c>
      <c r="P8" s="479">
        <f>industrie!P18</f>
        <v>0</v>
      </c>
      <c r="Q8" s="477">
        <f t="shared" si="0"/>
        <v>39494.101988405819</v>
      </c>
    </row>
    <row r="9" spans="1:17" s="483" customFormat="1">
      <c r="A9" s="481" t="s">
        <v>561</v>
      </c>
      <c r="B9" s="482">
        <f>transport!B14</f>
        <v>36.724331102602285</v>
      </c>
      <c r="C9" s="482">
        <f>transport!C14</f>
        <v>0</v>
      </c>
      <c r="D9" s="482">
        <f>transport!D14</f>
        <v>125.71523124156954</v>
      </c>
      <c r="E9" s="482">
        <f>transport!E14</f>
        <v>168.15491570032702</v>
      </c>
      <c r="F9" s="482">
        <f>transport!F14</f>
        <v>0</v>
      </c>
      <c r="G9" s="482">
        <f>transport!G14</f>
        <v>58173.289947614547</v>
      </c>
      <c r="H9" s="482">
        <f>transport!H14</f>
        <v>14186.703775531914</v>
      </c>
      <c r="I9" s="482">
        <f>transport!I14</f>
        <v>0</v>
      </c>
      <c r="J9" s="482">
        <f>transport!J14</f>
        <v>0</v>
      </c>
      <c r="K9" s="482">
        <f>transport!K14</f>
        <v>0</v>
      </c>
      <c r="L9" s="482">
        <f>transport!L14</f>
        <v>0</v>
      </c>
      <c r="M9" s="482">
        <f>transport!M14</f>
        <v>3819.8502028838775</v>
      </c>
      <c r="N9" s="482">
        <f>transport!N14</f>
        <v>0</v>
      </c>
      <c r="O9" s="482">
        <f>transport!O14</f>
        <v>0</v>
      </c>
      <c r="P9" s="482">
        <f>transport!P14</f>
        <v>0</v>
      </c>
      <c r="Q9" s="481">
        <f>SUM(B9:P9)</f>
        <v>76510.438404074841</v>
      </c>
    </row>
    <row r="10" spans="1:17">
      <c r="A10" s="477" t="s">
        <v>551</v>
      </c>
      <c r="B10" s="478">
        <f>transport!B54</f>
        <v>0</v>
      </c>
      <c r="C10" s="478">
        <f>transport!C54</f>
        <v>0</v>
      </c>
      <c r="D10" s="478">
        <f>transport!D54</f>
        <v>0</v>
      </c>
      <c r="E10" s="478">
        <f>transport!E54</f>
        <v>0</v>
      </c>
      <c r="F10" s="478">
        <f>transport!F54</f>
        <v>0</v>
      </c>
      <c r="G10" s="478">
        <f>transport!G54</f>
        <v>903.40035957659825</v>
      </c>
      <c r="H10" s="478">
        <f>transport!H54</f>
        <v>0</v>
      </c>
      <c r="I10" s="478">
        <f>transport!I54</f>
        <v>0</v>
      </c>
      <c r="J10" s="478">
        <f>transport!J54</f>
        <v>0</v>
      </c>
      <c r="K10" s="478">
        <f>transport!K54</f>
        <v>0</v>
      </c>
      <c r="L10" s="478">
        <f>transport!L54</f>
        <v>0</v>
      </c>
      <c r="M10" s="478">
        <f>transport!M54</f>
        <v>51.309152294057583</v>
      </c>
      <c r="N10" s="478">
        <f>transport!N54</f>
        <v>0</v>
      </c>
      <c r="O10" s="478">
        <f>transport!O54</f>
        <v>0</v>
      </c>
      <c r="P10" s="479">
        <f>transport!P54</f>
        <v>0</v>
      </c>
      <c r="Q10" s="477">
        <f t="shared" si="0"/>
        <v>954.70951187065589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73903.274144107796</v>
      </c>
      <c r="C14" s="488">
        <f t="shared" ref="C14:Q14" ca="1" si="1">SUM(C4:C13)</f>
        <v>13031.999999999998</v>
      </c>
      <c r="D14" s="488">
        <f t="shared" ca="1" si="1"/>
        <v>158271.37437885543</v>
      </c>
      <c r="E14" s="488">
        <f t="shared" si="1"/>
        <v>4157.5408400028236</v>
      </c>
      <c r="F14" s="488">
        <f t="shared" ca="1" si="1"/>
        <v>19353.295221697215</v>
      </c>
      <c r="G14" s="488">
        <f t="shared" si="1"/>
        <v>59076.690307191144</v>
      </c>
      <c r="H14" s="488">
        <f t="shared" si="1"/>
        <v>14186.703775531914</v>
      </c>
      <c r="I14" s="488">
        <f t="shared" si="1"/>
        <v>0</v>
      </c>
      <c r="J14" s="488">
        <f t="shared" si="1"/>
        <v>477.4535882663431</v>
      </c>
      <c r="K14" s="488">
        <f t="shared" si="1"/>
        <v>0</v>
      </c>
      <c r="L14" s="488">
        <f t="shared" ca="1" si="1"/>
        <v>0</v>
      </c>
      <c r="M14" s="488">
        <f t="shared" si="1"/>
        <v>3871.1593551779351</v>
      </c>
      <c r="N14" s="488">
        <f t="shared" ca="1" si="1"/>
        <v>23551.592944748176</v>
      </c>
      <c r="O14" s="488">
        <f t="shared" si="1"/>
        <v>314.23</v>
      </c>
      <c r="P14" s="489">
        <f t="shared" si="1"/>
        <v>1372.8</v>
      </c>
      <c r="Q14" s="489">
        <f t="shared" ca="1" si="1"/>
        <v>371568.1145555788</v>
      </c>
    </row>
    <row r="16" spans="1:17">
      <c r="A16" s="491" t="s">
        <v>556</v>
      </c>
      <c r="B16" s="841">
        <f ca="1">huishoudens!B10</f>
        <v>0.17569111285259512</v>
      </c>
      <c r="C16" s="841">
        <f ca="1">huishoudens!C10</f>
        <v>0.23649325928269987</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6029.9722715184962</v>
      </c>
      <c r="C21" s="478">
        <f t="shared" ref="C21:C30" ca="1" si="3">C4*$C$16</f>
        <v>0</v>
      </c>
      <c r="D21" s="478">
        <f t="shared" ref="D21:D30" si="4">D4*$D$16</f>
        <v>21026.634056187559</v>
      </c>
      <c r="E21" s="478">
        <f t="shared" ref="E21:E30" si="5">E4*$E$16</f>
        <v>639.36173863651345</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27695.968066342568</v>
      </c>
    </row>
    <row r="22" spans="1:17">
      <c r="A22" s="477" t="s">
        <v>156</v>
      </c>
      <c r="B22" s="478">
        <f t="shared" ca="1" si="2"/>
        <v>3062.4227547914888</v>
      </c>
      <c r="C22" s="478">
        <f t="shared" ca="1" si="3"/>
        <v>0</v>
      </c>
      <c r="D22" s="478">
        <f t="shared" ca="1" si="4"/>
        <v>6078.2415552967086</v>
      </c>
      <c r="E22" s="478">
        <f t="shared" si="5"/>
        <v>65.431300473690072</v>
      </c>
      <c r="F22" s="478">
        <f t="shared" ca="1" si="6"/>
        <v>856.73707481046699</v>
      </c>
      <c r="G22" s="478">
        <f t="shared" si="7"/>
        <v>0</v>
      </c>
      <c r="H22" s="478">
        <f t="shared" si="8"/>
        <v>0</v>
      </c>
      <c r="I22" s="478">
        <f t="shared" si="9"/>
        <v>0</v>
      </c>
      <c r="J22" s="478">
        <f t="shared" si="10"/>
        <v>2.277970236320425E-2</v>
      </c>
      <c r="K22" s="478">
        <f t="shared" si="11"/>
        <v>0</v>
      </c>
      <c r="L22" s="478">
        <f t="shared" ca="1" si="12"/>
        <v>0</v>
      </c>
      <c r="M22" s="478">
        <f t="shared" si="13"/>
        <v>0</v>
      </c>
      <c r="N22" s="478">
        <f t="shared" ca="1" si="14"/>
        <v>0</v>
      </c>
      <c r="O22" s="478">
        <f t="shared" si="15"/>
        <v>0</v>
      </c>
      <c r="P22" s="479">
        <f t="shared" si="16"/>
        <v>0</v>
      </c>
      <c r="Q22" s="477">
        <f t="shared" ref="Q22:Q30" ca="1" si="17">SUM(B22:P22)</f>
        <v>10062.855465074719</v>
      </c>
    </row>
    <row r="23" spans="1:17">
      <c r="A23" s="477" t="s">
        <v>194</v>
      </c>
      <c r="B23" s="478">
        <f t="shared" ca="1" si="2"/>
        <v>193.34842107650661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193.34842107650661</v>
      </c>
    </row>
    <row r="24" spans="1:17">
      <c r="A24" s="477" t="s">
        <v>112</v>
      </c>
      <c r="B24" s="478">
        <f t="shared" ca="1" si="2"/>
        <v>551.82609276491962</v>
      </c>
      <c r="C24" s="478">
        <f t="shared" ca="1" si="3"/>
        <v>3081.9801549721442</v>
      </c>
      <c r="D24" s="478">
        <f t="shared" si="4"/>
        <v>1848.1819168181596</v>
      </c>
      <c r="E24" s="478">
        <f t="shared" si="5"/>
        <v>20.956705634661105</v>
      </c>
      <c r="F24" s="478">
        <f t="shared" si="6"/>
        <v>3493.6334085789686</v>
      </c>
      <c r="G24" s="478">
        <f t="shared" si="7"/>
        <v>0</v>
      </c>
      <c r="H24" s="478">
        <f t="shared" si="8"/>
        <v>0</v>
      </c>
      <c r="I24" s="478">
        <f t="shared" si="9"/>
        <v>0</v>
      </c>
      <c r="J24" s="478">
        <f t="shared" si="10"/>
        <v>161.08671136332501</v>
      </c>
      <c r="K24" s="478">
        <f t="shared" si="11"/>
        <v>0</v>
      </c>
      <c r="L24" s="478">
        <f t="shared" si="12"/>
        <v>0</v>
      </c>
      <c r="M24" s="478">
        <f t="shared" si="13"/>
        <v>0</v>
      </c>
      <c r="N24" s="478">
        <f t="shared" si="14"/>
        <v>0</v>
      </c>
      <c r="O24" s="478">
        <f t="shared" si="15"/>
        <v>0</v>
      </c>
      <c r="P24" s="479">
        <f t="shared" si="16"/>
        <v>0</v>
      </c>
      <c r="Q24" s="477">
        <f t="shared" ca="1" si="17"/>
        <v>9157.664990132178</v>
      </c>
    </row>
    <row r="25" spans="1:17">
      <c r="A25" s="477" t="s">
        <v>635</v>
      </c>
      <c r="B25" s="478">
        <f t="shared" ca="1" si="2"/>
        <v>3140.1267990771235</v>
      </c>
      <c r="C25" s="478">
        <f t="shared" ca="1" si="3"/>
        <v>0</v>
      </c>
      <c r="D25" s="478">
        <f t="shared" si="4"/>
        <v>2992.3656195155731</v>
      </c>
      <c r="E25" s="478">
        <f t="shared" si="5"/>
        <v>179.84086007180218</v>
      </c>
      <c r="F25" s="478">
        <f t="shared" si="6"/>
        <v>816.95934080372115</v>
      </c>
      <c r="G25" s="478">
        <f t="shared" si="7"/>
        <v>0</v>
      </c>
      <c r="H25" s="478">
        <f t="shared" si="8"/>
        <v>0</v>
      </c>
      <c r="I25" s="478">
        <f t="shared" si="9"/>
        <v>0</v>
      </c>
      <c r="J25" s="478">
        <f t="shared" si="10"/>
        <v>7.9090791805972547</v>
      </c>
      <c r="K25" s="478">
        <f t="shared" si="11"/>
        <v>0</v>
      </c>
      <c r="L25" s="478">
        <f t="shared" si="12"/>
        <v>0</v>
      </c>
      <c r="M25" s="478">
        <f t="shared" si="13"/>
        <v>0</v>
      </c>
      <c r="N25" s="478">
        <f t="shared" si="14"/>
        <v>0</v>
      </c>
      <c r="O25" s="478">
        <f t="shared" si="15"/>
        <v>0</v>
      </c>
      <c r="P25" s="479">
        <f t="shared" si="16"/>
        <v>0</v>
      </c>
      <c r="Q25" s="477">
        <f t="shared" ca="1" si="17"/>
        <v>7137.201698648817</v>
      </c>
    </row>
    <row r="26" spans="1:17" s="483" customFormat="1">
      <c r="A26" s="481" t="s">
        <v>561</v>
      </c>
      <c r="B26" s="835">
        <f t="shared" ca="1" si="2"/>
        <v>6.4521386001833667</v>
      </c>
      <c r="C26" s="482">
        <f t="shared" ca="1" si="3"/>
        <v>0</v>
      </c>
      <c r="D26" s="482">
        <f t="shared" si="4"/>
        <v>25.394476710797047</v>
      </c>
      <c r="E26" s="482">
        <f t="shared" si="5"/>
        <v>38.171165863974238</v>
      </c>
      <c r="F26" s="482">
        <f t="shared" si="6"/>
        <v>0</v>
      </c>
      <c r="G26" s="482">
        <f t="shared" si="7"/>
        <v>15532.268416013085</v>
      </c>
      <c r="H26" s="482">
        <f t="shared" si="8"/>
        <v>3532.4892401074467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19134.775437295488</v>
      </c>
    </row>
    <row r="27" spans="1:17">
      <c r="A27" s="477" t="s">
        <v>551</v>
      </c>
      <c r="B27" s="478">
        <f t="shared" ca="1" si="2"/>
        <v>0</v>
      </c>
      <c r="C27" s="478">
        <f t="shared" ca="1" si="3"/>
        <v>0</v>
      </c>
      <c r="D27" s="478">
        <f t="shared" si="4"/>
        <v>0</v>
      </c>
      <c r="E27" s="478">
        <f t="shared" si="5"/>
        <v>0</v>
      </c>
      <c r="F27" s="478">
        <f t="shared" si="6"/>
        <v>0</v>
      </c>
      <c r="G27" s="478">
        <f t="shared" si="7"/>
        <v>241.20789600695176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241.20789600695176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12984.148477828718</v>
      </c>
      <c r="C31" s="488">
        <f t="shared" ca="1" si="18"/>
        <v>3081.9801549721442</v>
      </c>
      <c r="D31" s="488">
        <f t="shared" ca="1" si="18"/>
        <v>31970.817624528801</v>
      </c>
      <c r="E31" s="488">
        <f t="shared" si="18"/>
        <v>943.76177068064112</v>
      </c>
      <c r="F31" s="488">
        <f t="shared" ca="1" si="18"/>
        <v>5167.3298241931561</v>
      </c>
      <c r="G31" s="488">
        <f t="shared" si="18"/>
        <v>15773.476312020037</v>
      </c>
      <c r="H31" s="488">
        <f t="shared" si="18"/>
        <v>3532.4892401074467</v>
      </c>
      <c r="I31" s="488">
        <f t="shared" si="18"/>
        <v>0</v>
      </c>
      <c r="J31" s="488">
        <f t="shared" si="18"/>
        <v>169.01857024628546</v>
      </c>
      <c r="K31" s="488">
        <f t="shared" si="18"/>
        <v>0</v>
      </c>
      <c r="L31" s="488">
        <f t="shared" ca="1" si="18"/>
        <v>0</v>
      </c>
      <c r="M31" s="488">
        <f t="shared" si="18"/>
        <v>0</v>
      </c>
      <c r="N31" s="488">
        <f t="shared" ca="1" si="18"/>
        <v>0</v>
      </c>
      <c r="O31" s="488">
        <f t="shared" si="18"/>
        <v>0</v>
      </c>
      <c r="P31" s="489">
        <f t="shared" si="18"/>
        <v>0</v>
      </c>
      <c r="Q31" s="489">
        <f t="shared" ca="1" si="18"/>
        <v>73623.021974577234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0.17569111285259512</v>
      </c>
      <c r="C17" s="528">
        <f ca="1">'EF ele_warmte'!B22</f>
        <v>0.23649325928269987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0.17569111285259512</v>
      </c>
      <c r="C17" s="528">
        <f ca="1">'EF ele_warmte'!B22</f>
        <v>0.23649325928269987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0.17569111285259512</v>
      </c>
      <c r="C29" s="529">
        <f ca="1">'EF ele_warmte'!B22</f>
        <v>0.23649325928269987</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2018-09-06T12:45:48Z</dcterms:modified>
</cp:coreProperties>
</file>