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B35" i="13"/>
  <c r="J15" i="14"/>
  <c r="J23" s="1"/>
  <c r="P8" i="48"/>
  <c r="P25" s="1"/>
  <c r="D18" i="16"/>
  <c r="D22" s="1"/>
  <c r="E39" i="14" s="1"/>
  <c r="G31" i="20"/>
  <c r="H43" i="14" s="1"/>
  <c r="G12" i="22"/>
  <c r="D16" i="15"/>
  <c r="D20" s="1"/>
  <c r="K22" i="14"/>
  <c r="E8" i="17"/>
  <c r="F22" i="14" s="1"/>
  <c r="O18" i="16"/>
  <c r="O22" s="1"/>
  <c r="P39" i="14" s="1"/>
  <c r="B36" i="13"/>
  <c r="B48" s="1"/>
  <c r="C48" s="1"/>
  <c r="N5" s="1"/>
  <c r="N8" s="1"/>
  <c r="N4" i="48" s="1"/>
  <c r="N21" s="1"/>
  <c r="H13"/>
  <c r="H30" s="1"/>
  <c r="H12" i="22"/>
  <c r="B34" i="13"/>
  <c r="N8" i="17"/>
  <c r="N12" s="1"/>
  <c r="O48" i="14" s="1"/>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P31"/>
  <c r="P13" i="14"/>
  <c r="E12" i="17"/>
  <c r="F48" i="14" s="1"/>
  <c r="O8" i="48"/>
  <c r="O25" s="1"/>
  <c r="J16" i="15"/>
  <c r="K10" i="14" s="1"/>
  <c r="E16" i="15"/>
  <c r="F10" i="14" s="1"/>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P55" i="14" l="1"/>
  <c r="J5" i="48"/>
  <c r="J22" s="1"/>
  <c r="J20" i="15"/>
  <c r="K36" i="14" s="1"/>
  <c r="O14" i="48"/>
  <c r="E5"/>
  <c r="E22" s="1"/>
  <c r="N18" i="16"/>
  <c r="N8" i="48" s="1"/>
  <c r="L31"/>
  <c r="N20" i="14"/>
  <c r="N23" s="1"/>
  <c r="E20" i="15"/>
  <c r="F36" i="14" s="1"/>
  <c r="F18" i="16"/>
  <c r="G13" i="14" s="1"/>
  <c r="G15" s="1"/>
  <c r="G23" s="1"/>
  <c r="J18" i="16"/>
  <c r="K13" i="14" s="1"/>
  <c r="K15" s="1"/>
  <c r="K23" s="1"/>
  <c r="J9" i="18"/>
  <c r="M7"/>
  <c r="M9" s="1"/>
  <c r="M16"/>
  <c r="M19" s="1"/>
  <c r="E18" i="16"/>
  <c r="E22" s="1"/>
  <c r="F39" i="14" s="1"/>
  <c r="R22"/>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O13"/>
  <c r="O15" s="1"/>
  <c r="F22" i="16"/>
  <c r="G39" i="14" s="1"/>
  <c r="G41" s="1"/>
  <c r="F8" i="48"/>
  <c r="Q4"/>
  <c r="N22"/>
  <c r="R11" i="14"/>
  <c r="J21" i="48"/>
  <c r="R10" i="14"/>
  <c r="C10" i="13" l="1"/>
  <c r="C16" i="48" s="1"/>
  <c r="C30" s="1"/>
  <c r="C10" i="17"/>
  <c r="C12" s="1"/>
  <c r="D48" i="14" s="1"/>
  <c r="C17" i="49"/>
  <c r="C29" i="20"/>
  <c r="C16" i="22"/>
  <c r="C56"/>
  <c r="C58" s="1"/>
  <c r="D44" i="14" s="1"/>
  <c r="D46" s="1"/>
  <c r="C20" i="16"/>
  <c r="C22" s="1"/>
  <c r="D39" i="14" s="1"/>
  <c r="C18" i="15"/>
  <c r="C20" s="1"/>
  <c r="D36" i="14" s="1"/>
  <c r="C17" i="19"/>
  <c r="C19" s="1"/>
  <c r="D35" i="14" s="1"/>
  <c r="Q5" i="48"/>
  <c r="F41" i="14"/>
  <c r="F53"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24" i="48"/>
  <c r="R13" i="14"/>
  <c r="R15" s="1"/>
  <c r="F25" i="48"/>
  <c r="F31" s="1"/>
  <c r="F14"/>
  <c r="C27" l="1"/>
  <c r="C28"/>
  <c r="C22"/>
  <c r="C31" s="1"/>
  <c r="C25"/>
  <c r="C29"/>
  <c r="F55" i="14"/>
  <c r="C12" i="13"/>
  <c r="D37" i="14" s="1"/>
  <c r="D41" s="1"/>
  <c r="C21" i="48"/>
  <c r="C26"/>
  <c r="C23"/>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<sst xmlns="http://schemas.openxmlformats.org/spreadsheetml/2006/main" count="1923" uniqueCount="815">
  <si>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</si>
  <si>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</si>
  <si>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</si>
  <si>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</si>
  <si>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</si>
  <si>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</si>
  <si>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</si>
  <si>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</si>
  <si>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</si>
  <si>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</si>
  <si>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</si>
  <si>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</si>
  <si>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</si>
  <si>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</si>
  <si>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</si>
  <si>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</si>
  <si>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</si>
  <si>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</si>
  <si>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</si>
  <si>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</si>
  <si>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</si>
  <si>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</si>
  <si>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</si>
  <si>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</si>
  <si>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</si>
  <si>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</si>
  <si>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</si>
  <si>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</si>
  <si>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</si>
  <si>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</si>
  <si>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</si>
  <si>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</si>
  <si>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</si>
  <si>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</si>
  <si>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</si>
  <si>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</si>
  <si>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</si>
  <si>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</si>
  <si>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</si>
  <si>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</si>
  <si>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</si>
  <si>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</si>
  <si>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</si>
  <si>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</si>
  <si>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</si>
  <si>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</si>
  <si>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</si>
  <si>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</si>
  <si>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</si>
  <si>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</si>
  <si>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</si>
  <si>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</si>
  <si>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</si>
  <si>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</si>
  <si>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</si>
  <si>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</si>
  <si>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</si>
  <si>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</si>
  <si>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</si>
  <si>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</si>
  <si>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</si>
  <si>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</si>
  <si>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</si>
  <si>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</si>
  <si>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</si>
  <si>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</si>
  <si>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</si>
  <si>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</si>
  <si>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</si>
  <si>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</si>
  <si>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</si>
  <si>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</si>
  <si>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</si>
  <si>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</si>
  <si>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</si>
  <si>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</si>
  <si>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</si>
  <si>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</si>
  <si>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</si>
  <si>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</si>
  <si>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</si>
  <si>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</si>
  <si>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</si>
  <si>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</si>
  <si>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</si>
  <si>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</si>
  <si>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</si>
  <si>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</si>
  <si>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</si>
  <si>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</si>
  <si>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</si>
  <si>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</si>
  <si>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</si>
  <si>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</si>
  <si>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</si>
  <si>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</si>
  <si>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</si>
  <si>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</si>
  <si>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</si>
  <si>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</si>
  <si>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</si>
  <si>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</si>
  <si>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</si>
  <si>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</si>
  <si>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</si>
  <si>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</si>
  <si>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</si>
  <si>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</si>
  <si>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</si>
  <si>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</si>
  <si>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</si>
  <si>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</si>
  <si>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</si>
  <si>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</si>
  <si>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</si>
  <si>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</si>
  <si>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</si>
  <si>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</si>
  <si>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</si>
  <si>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</si>
  <si>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</si>
  <si>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</si>
  <si>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</si>
  <si>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</si>
  <si>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</si>
  <si>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</si>
  <si>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</si>
  <si>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</si>
  <si>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</si>
  <si>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</si>
  <si>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</si>
  <si>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</si>
  <si>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</si>
  <si>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</si>
  <si>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</si>
  <si>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</si>
  <si>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</si>
  <si>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</si>
  <si>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</si>
  <si>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</si>
  <si>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</si>
  <si>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</si>
  <si>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</si>
  <si>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</si>
  <si>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</si>
  <si>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</si>
  <si>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</si>
  <si>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</si>
  <si>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</si>
  <si>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</si>
  <si>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</si>
  <si>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</si>
  <si>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</si>
  <si>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</si>
  <si>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</si>
  <si>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</si>
  <si>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</si>
  <si>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</si>
  <si>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</si>
  <si>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</si>
  <si>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</si>
  <si>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</si>
  <si>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</si>
  <si>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</si>
  <si>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</si>
  <si>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</si>
  <si>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</si>
  <si>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</si>
  <si>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</si>
  <si>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</si>
  <si>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</si>
  <si>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</si>
  <si>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</si>
  <si>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</si>
  <si>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</si>
  <si>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</si>
  <si>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</si>
  <si>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</si>
  <si>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</si>
  <si>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</si>
  <si>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</si>
  <si>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</si>
  <si>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</si>
  <si>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</si>
  <si>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</si>
  <si>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</si>
  <si>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</si>
  <si>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</si>
  <si>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</si>
  <si>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</si>
  <si>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</si>
  <si>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</si>
  <si>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</si>
  <si>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</si>
  <si>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</si>
  <si>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</si>
  <si>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</si>
  <si>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</si>
  <si>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</si>
  <si>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</si>
  <si>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</si>
  <si>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</si>
  <si>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</si>
  <si>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</si>
  <si>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</si>
  <si>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</si>
  <si>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</si>
  <si>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</si>
  <si>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</si>
  <si>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</si>
  <si>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</si>
  <si>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</si>
  <si>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</si>
  <si>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</si>
  <si>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</si>
  <si>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</si>
  <si>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</si>
  <si>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</si>
  <si>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</si>
  <si>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</si>
  <si>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</si>
  <si>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</si>
  <si>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</si>
  <si>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</si>
  <si>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</si>
  <si>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</si>
  <si>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</si>
  <si>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</si>
  <si>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</si>
  <si>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</si>
  <si>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</si>
  <si>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</si>
  <si>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</si>
  <si>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</si>
  <si>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</si>
  <si>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</si>
  <si>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</si>
  <si>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</si>
  <si>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</si>
  <si>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</si>
  <si>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</si>
  <si>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</si>
  <si>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</si>
  <si>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</si>
  <si>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</si>
  <si>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</si>
  <si>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</si>
  <si>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</si>
  <si>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</si>
  <si>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</si>
  <si>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</si>
  <si>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</si>
  <si>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</si>
  <si>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</si>
  <si>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</si>
  <si>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</si>
  <si>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</si>
  <si>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</si>
  <si>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</si>
  <si>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</si>
  <si>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</si>
  <si>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</si>
  <si>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</si>
  <si>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</si>
  <si>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</si>
  <si>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</si>
  <si>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</si>
  <si>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</si>
  <si>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</si>
  <si>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</si>
  <si>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</si>
  <si>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</si>
  <si>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</si>
  <si>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</si>
  <si>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</si>
  <si>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</si>
  <si>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</si>
  <si>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</si>
  <si>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</si>
  <si>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</si>
  <si>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</si>
  <si>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</si>
  <si>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</si>
  <si>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</si>
  <si>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</si>
  <si>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</si>
  <si>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</si>
  <si>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</si>
  <si>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</si>
  <si>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</si>
  <si>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</si>
  <si>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</si>
  <si>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</si>
  <si>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</si>
  <si>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</si>
  <si>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</si>
  <si>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</si>
  <si>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</si>
  <si>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</si>
  <si>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</si>
  <si>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</si>
  <si>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</si>
  <si>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</si>
  <si>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</si>
  <si>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</si>
  <si>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</si>
  <si>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</si>
  <si>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</si>
  <si>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</si>
  <si>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</si>
  <si>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</si>
  <si>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</si>
  <si>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</si>
  <si>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</si>
  <si>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</si>
  <si>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</si>
  <si>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</si>
  <si>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</si>
  <si>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</si>
  <si>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</si>
  <si>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</si>
  <si>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</si>
  <si>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</si>
  <si>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</si>
  <si>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</si>
  <si>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</si>
  <si>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</si>
  <si>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</si>
  <si>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</si>
  <si>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</si>
  <si>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</si>
  <si>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</si>
  <si>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</si>
  <si>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</si>
  <si>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</si>
  <si>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</si>
  <si>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</si>
  <si>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</si>
  <si>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</si>
  <si>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</si>
  <si>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</si>
  <si>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</si>
  <si>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</si>
  <si>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</si>
  <si>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</si>
  <si>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</si>
  <si>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</si>
  <si>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</si>
  <si>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</si>
  <si>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</si>
  <si>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</si>
  <si>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</si>
  <si>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</si>
  <si>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</si>
  <si>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</si>
  <si>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</si>
  <si>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</si>
  <si>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</si>
  <si>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</si>
  <si>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</si>
  <si>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</si>
  <si>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</si>
  <si>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</si>
  <si>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</si>
  <si>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</si>
  <si>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</si>
  <si>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</si>
  <si>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</si>
  <si>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</si>
  <si>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</si>
  <si>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</si>
  <si>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</si>
  <si>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</si>
  <si>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</si>
  <si>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</si>
  <si>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</si>
  <si>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</si>
  <si>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</si>
  <si>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</si>
  <si>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</si>
  <si>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</si>
  <si>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</si>
  <si>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</si>
  <si>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</si>
  <si>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</si>
  <si>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</si>
  <si>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</si>
  <si>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</si>
  <si>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</si>
  <si>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</si>
  <si>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</si>
  <si>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</si>
  <si>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</si>
  <si>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</si>
  <si>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</si>
  <si>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</si>
  <si>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</si>
  <si>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</si>
  <si>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</si>
  <si>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</si>
  <si>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</si>
  <si>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</si>
  <si>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</si>
  <si>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</si>
  <si>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</si>
  <si>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</si>
  <si>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</si>
  <si>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</si>
  <si>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</si>
  <si>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</si>
  <si>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</si>
  <si>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</si>
  <si>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</si>
  <si>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</si>
  <si>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</si>
  <si>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</si>
  <si>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</si>
  <si>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</si>
  <si>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</si>
  <si>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</si>
  <si>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</si>
  <si>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</si>
  <si>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</si>
  <si>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</si>
  <si>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</si>
  <si>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</si>
  <si>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</si>
  <si>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</si>
  <si>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</si>
  <si>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</si>
  <si>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</si>
  <si>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</si>
  <si>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</si>
  <si>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</si>
  <si>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</si>
  <si>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</si>
  <si>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</si>
  <si>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</si>
  <si>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</si>
  <si>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</si>
  <si>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</si>
  <si>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</si>
  <si>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</si>
  <si>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</si>
  <si>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</si>
  <si>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</si>
  <si>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</si>
  <si>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</si>
  <si>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</si>
  <si>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</si>
  <si>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</si>
  <si>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</si>
  <si>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</si>
  <si>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</si>
  <si>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</si>
  <si>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</si>
  <si>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</si>
  <si>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</si>
  <si>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</si>
  <si>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</si>
  <si>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</si>
  <si>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</si>
  <si>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</si>
  <si>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</si>
  <si>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</si>
  <si>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</si>
  <si>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</si>
  <si>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</si>
  <si>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</si>
  <si>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</si>
  <si>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</si>
  <si>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</si>
  <si>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</si>
  <si>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</si>
  <si>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</si>
  <si>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</si>
  <si>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</si>
  <si>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</si>
  <si>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</si>
  <si>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</si>
  <si>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</si>
  <si>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</si>
  <si>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</si>
  <si>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</si>
  <si>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</si>
  <si>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</si>
  <si>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</si>
  <si>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</si>
  <si>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</si>
  <si>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</si>
  <si>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</si>
  <si>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</si>
  <si>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</si>
  <si>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</si>
  <si>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</si>
  <si>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</si>
  <si>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</si>
  <si>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</si>
  <si>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</si>
  <si>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</si>
  <si>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</si>
  <si>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</si>
  <si>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</si>
  <si>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</si>
  <si>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</si>
  <si>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</si>
  <si>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</si>
  <si>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</si>
  <si>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</si>
  <si>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</si>
  <si>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</si>
  <si>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</si>
  <si>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</si>
  <si>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</si>
  <si>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</si>
  <si>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</si>
  <si>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</si>
  <si>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</si>
  <si>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</si>
  <si>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</si>
  <si>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</si>
  <si>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</si>
  <si>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</si>
  <si>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</si>
  <si>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</si>
  <si>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</si>
  <si>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</si>
  <si>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</si>
  <si>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</si>
  <si>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</si>
  <si>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</si>
  <si>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</si>
  <si>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</si>
  <si>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</si>
  <si>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</si>
  <si>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</si>
  <si>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</si>
  <si>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</si>
  <si>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</si>
  <si>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</si>
  <si>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</si>
  <si>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</si>
  <si>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</si>
  <si>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</si>
  <si>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</si>
  <si>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</si>
  <si>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</si>
  <si>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</si>
  <si>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</si>
  <si>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</si>
  <si>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</si>
  <si>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</si>
  <si>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</si>
  <si>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</si>
  <si>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</si>
  <si>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</si>
  <si>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</si>
  <si>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</si>
  <si>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</si>
  <si>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</si>
  <si>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</si>
  <si>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</si>
  <si>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</si>
  <si>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</si>
  <si>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</si>
  <si>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</si>
  <si>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</si>
  <si>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</si>
  <si>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</si>
  <si>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</si>
  <si>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</si>
  <si>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</si>
  <si>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</si>
  <si>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</si>
  <si>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</si>
  <si>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</si>
  <si>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</si>
  <si>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</si>
  <si>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</si>
  <si>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</si>
  <si>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</si>
  <si>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</si>
  <si>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</si>
  <si>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</si>
  <si>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</si>
  <si>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</si>
  <si>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</si>
  <si>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</si>
  <si>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</si>
  <si>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</si>
  <si>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</si>
  <si>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</si>
  <si>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</si>
  <si>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</si>
  <si>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</si>
  <si>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</si>
  <si>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</si>
  <si>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</si>
  <si>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</si>
  <si>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</si>
  <si>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</si>
  <si>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</si>
  <si>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</si>
  <si>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</si>
  <si>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</si>
  <si>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</si>
  <si>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</si>
  <si>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</si>
  <si>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</si>
  <si>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</si>
  <si>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</si>
  <si>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</si>
  <si>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</si>
  <si>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</si>
  <si>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</si>
  <si>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</si>
  <si>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</si>
  <si>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</si>
  <si>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</si>
  <si>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</si>
  <si>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</si>
  <si>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</si>
  <si>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</si>
  <si>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</si>
  <si>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</si>
  <si>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</si>
  <si>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</si>
  <si>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</si>
  <si>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</si>
  <si>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</si>
  <si>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</si>
  <si>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</si>
  <si>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</si>
  <si>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</si>
  <si>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</si>
  <si>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</si>
  <si>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</si>
  <si>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</si>
  <si>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</si>
  <si>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</si>
  <si>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</si>
  <si>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</si>
  <si>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</si>
  <si>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</si>
  <si>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</si>
  <si>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</si>
  <si>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</si>
  <si>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</si>
  <si>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</si>
  <si>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</si>
  <si>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</si>
  <si>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</si>
  <si>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</si>
  <si>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</si>
  <si>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</si>
  <si>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</si>
  <si>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</si>
  <si>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</si>
  <si>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</si>
  <si>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</si>
  <si>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</si>
  <si>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</si>
  <si>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</si>
  <si>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</si>
  <si>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</si>
  <si>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</si>
  <si>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</si>
  <si>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</si>
  <si>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</si>
  <si>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</si>
  <si>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</si>
  <si>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</si>
  <si>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</si>
  <si>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</si>
  <si>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</si>
  <si>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</si>
  <si>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</si>
  <si>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</si>
  <si>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</si>
  <si>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</si>
  <si>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</si>
  <si>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</si>
  <si>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</si>
  <si>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</si>
  <si>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</si>
  <si>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</si>
  <si>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</si>
  <si>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</si>
  <si>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</si>
  <si>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</si>
  <si>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</si>
  <si>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</si>
  <si>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</si>
  <si>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</si>
  <si>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</si>
  <si>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</si>
  <si>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</si>
  <si>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</si>
  <si>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</si>
  <si>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</si>
  <si>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</si>
  <si>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</si>
  <si>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</si>
  <si>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</si>
  <si>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</si>
  <si>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</si>
  <si>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</si>
  <si>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</si>
  <si>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</si>
  <si>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</si>
  <si>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</si>
  <si>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</si>
  <si>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</si>
  <si>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</si>
  <si>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</si>
  <si>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</si>
  <si>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</si>
  <si>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</si>
  <si>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</si>
  <si>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</si>
  <si>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</si>
  <si>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</si>
  <si>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</si>
  <si>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</si>
  <si>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</si>
  <si>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</si>
  <si>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</si>
  <si>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</si>
  <si>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</si>
  <si>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</si>
  <si>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</si>
  <si>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</si>
  <si>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</si>
  <si>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</si>
  <si>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</si>
  <si>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</si>
  <si>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</si>
  <si>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</si>
  <si>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</si>
  <si>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</si>
  <si>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</si>
  <si>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</si>
  <si>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</si>
  <si>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</si>
  <si>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</si>
  <si>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</si>
  <si>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</si>
  <si>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</si>
  <si>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</si>
  <si>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</si>
  <si>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</si>
  <si>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</si>
  <si>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</si>
  <si>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</si>
  <si>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</si>
  <si>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</si>
  <si>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</si>
  <si>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</si>
  <si>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</si>
  <si>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</si>
  <si>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</si>
  <si>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</si>
  <si>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</si>
  <si>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</si>
  <si>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</si>
  <si>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</si>
  <si>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</si>
  <si>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</si>
  <si>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</si>
  <si>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</si>
  <si>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</si>
  <si>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</si>
  <si>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</si>
  <si>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</si>
  <si>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</si>
  <si>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</si>
  <si>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</si>
  <si>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</si>
  <si>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</si>
  <si>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</si>
  <si>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</si>
  <si>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</si>
  <si>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</si>
  <si>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</si>
  <si>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</si>
  <si>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</si>
  <si>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</si>
  <si>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</si>
  <si>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</si>
  <si>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</si>
  <si>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</si>
  <si>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</si>
  <si>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</si>
  <si>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</si>
  <si>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</si>
  <si>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</si>
  <si>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</si>
  <si>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</si>
  <si>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</si>
  <si>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</si>
  <si>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</si>
  <si>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11007</t>
  </si>
  <si>
    <t>BORSBEEK</t>
  </si>
  <si>
    <t>Eandis (januari 2018); Infrax (juni 2018)</t>
  </si>
  <si>
    <t>MOW (september 2017)</t>
  </si>
  <si>
    <t>referentietaak LNE (2017); Jaarverslag De Lijn (2016)</t>
  </si>
  <si>
    <t>VEA (april 2018)</t>
  </si>
  <si>
    <t>VEA (januari 2017)</t>
  </si>
  <si>
    <t>VEA (juni 2018)</t>
  </si>
  <si>
    <t>Barka bvba</t>
  </si>
  <si>
    <t>Gebroeders van der Auwerabaan 66 , 2150 Borsbeek (Antw.)</t>
  </si>
  <si>
    <t>WKK-0213 Barka bvba</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</si>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</sst>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68898.446926946694</c:v>
                </c:pt>
                <c:pt idx="1">
                  <c:v>22870.734928742382</c:v>
                </c:pt>
                <c:pt idx="2">
                  <c:v>475.15300000000002</c:v>
                </c:pt>
                <c:pt idx="3">
                  <c:v>21276.52872906168</c:v>
                </c:pt>
                <c:pt idx="4">
                  <c:v>4439.2310994847503</c:v>
                </c:pt>
                <c:pt idx="5">
                  <c:v>28798.282683226014</c:v>
                </c:pt>
                <c:pt idx="6">
                  <c:v>1070.12147374099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20832"/>
        <c:axId val="182551296"/>
      </c:barChart>
      <c:catAx>
        <c:axId val="182520832"/>
        <c:scaling>
          <c:orientation val="minMax"/>
        </c:scaling>
        <c:axPos val="b"/>
        <c:numFmt formatCode="General" sourceLinked="0"/>
        <c:tickLblPos val="nextTo"/>
        <c:crossAx val="182551296"/>
        <c:crosses val="autoZero"/>
        <c:auto val="1"/>
        <c:lblAlgn val="ctr"/>
        <c:lblOffset val="100"/>
      </c:catAx>
      <c:valAx>
        <c:axId val="182551296"/>
        <c:scaling>
          <c:orientation val="minMax"/>
        </c:scaling>
        <c:axPos val="l"/>
        <c:majorGridlines/>
        <c:numFmt formatCode="#,##0" sourceLinked="1"/>
        <c:tickLblPos val="nextTo"/>
        <c:crossAx val="1825208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68898.446926946694</c:v>
                </c:pt>
                <c:pt idx="1">
                  <c:v>22870.734928742382</c:v>
                </c:pt>
                <c:pt idx="2">
                  <c:v>475.15300000000002</c:v>
                </c:pt>
                <c:pt idx="3">
                  <c:v>21276.52872906168</c:v>
                </c:pt>
                <c:pt idx="4">
                  <c:v>4439.2310994847503</c:v>
                </c:pt>
                <c:pt idx="5">
                  <c:v>28798.282683226014</c:v>
                </c:pt>
                <c:pt idx="6">
                  <c:v>1070.12147374099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13872.165758327117</c:v>
                </c:pt>
                <c:pt idx="1">
                  <c:v>4854.6292605337803</c:v>
                </c:pt>
                <c:pt idx="2">
                  <c:v>106.0925381724871</c:v>
                </c:pt>
                <c:pt idx="3">
                  <c:v>5085.3231244437748</c:v>
                </c:pt>
                <c:pt idx="4">
                  <c:v>899.41492736625798</c:v>
                </c:pt>
                <c:pt idx="5">
                  <c:v>7210.1506451013065</c:v>
                </c:pt>
                <c:pt idx="6">
                  <c:v>270.36679319048517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978432"/>
        <c:axId val="182979968"/>
      </c:barChart>
      <c:catAx>
        <c:axId val="182978432"/>
        <c:scaling>
          <c:orientation val="minMax"/>
        </c:scaling>
        <c:axPos val="b"/>
        <c:numFmt formatCode="General" sourceLinked="0"/>
        <c:tickLblPos val="nextTo"/>
        <c:crossAx val="182979968"/>
        <c:crosses val="autoZero"/>
        <c:auto val="1"/>
        <c:lblAlgn val="ctr"/>
        <c:lblOffset val="100"/>
      </c:catAx>
      <c:valAx>
        <c:axId val="182979968"/>
        <c:scaling>
          <c:orientation val="minMax"/>
        </c:scaling>
        <c:axPos val="l"/>
        <c:majorGridlines/>
        <c:numFmt formatCode="#,##0" sourceLinked="1"/>
        <c:tickLblPos val="nextTo"/>
        <c:crossAx val="1829784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13872.165758327117</c:v>
                </c:pt>
                <c:pt idx="1">
                  <c:v>4854.6292605337803</c:v>
                </c:pt>
                <c:pt idx="2">
                  <c:v>106.0925381724871</c:v>
                </c:pt>
                <c:pt idx="3">
                  <c:v>5085.3231244437748</c:v>
                </c:pt>
                <c:pt idx="4">
                  <c:v>899.41492736625798</c:v>
                </c:pt>
                <c:pt idx="5">
                  <c:v>7210.1506451013065</c:v>
                </c:pt>
                <c:pt idx="6">
                  <c:v>270.36679319048517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11007</v>
      </c>
      <c r="B6" s="415"/>
      <c r="C6" s="416"/>
    </row>
    <row r="7" spans="1:7" s="413" customFormat="1" ht="15.75" customHeight="1">
      <c r="A7" s="417" t="str">
        <f>txtMunicipality</f>
        <v>BORSBEEK</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10093.960079077557</v>
      </c>
      <c r="D10" s="718">
        <f ca="1">tertiair!C16</f>
        <v>0</v>
      </c>
      <c r="E10" s="718">
        <f ca="1">tertiair!D16</f>
        <v>10886.767293736917</v>
      </c>
      <c r="F10" s="718">
        <f>tertiair!E16</f>
        <v>216.42412506347475</v>
      </c>
      <c r="G10" s="718">
        <f ca="1">tertiair!F16</f>
        <v>1717.8854258306035</v>
      </c>
      <c r="H10" s="718">
        <f>tertiair!G16</f>
        <v>0</v>
      </c>
      <c r="I10" s="718">
        <f>tertiair!H16</f>
        <v>0</v>
      </c>
      <c r="J10" s="718">
        <f>tertiair!I16</f>
        <v>0</v>
      </c>
      <c r="K10" s="718">
        <f>tertiair!J16</f>
        <v>1.0506135940199762E-2</v>
      </c>
      <c r="L10" s="718">
        <f>tertiair!K16</f>
        <v>0</v>
      </c>
      <c r="M10" s="718">
        <f ca="1">tertiair!L16</f>
        <v>0</v>
      </c>
      <c r="N10" s="718">
        <f>tertiair!M16</f>
        <v>0</v>
      </c>
      <c r="O10" s="718">
        <f ca="1">tertiair!N16</f>
        <v>430.84049889789605</v>
      </c>
      <c r="P10" s="718">
        <f>tertiair!O16</f>
        <v>0</v>
      </c>
      <c r="Q10" s="719">
        <f>tertiair!P16</f>
        <v>0</v>
      </c>
      <c r="R10" s="721">
        <f ca="1">SUM(C10:Q10)</f>
        <v>23345.887928742381</v>
      </c>
      <c r="S10" s="67"/>
    </row>
    <row r="11" spans="1:19" s="474" customFormat="1">
      <c r="A11" s="870" t="s">
        <v>225</v>
      </c>
      <c r="B11" s="875"/>
      <c r="C11" s="718">
        <f>huishoudens!B8</f>
        <v>14979.912857541278</v>
      </c>
      <c r="D11" s="718">
        <f>huishoudens!C8</f>
        <v>0</v>
      </c>
      <c r="E11" s="718">
        <f>huishoudens!D8</f>
        <v>51916.59819252701</v>
      </c>
      <c r="F11" s="718">
        <f>huishoudens!E8</f>
        <v>177.47187734476759</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1693.4806662003134</v>
      </c>
      <c r="P11" s="718">
        <f>huishoudens!O8</f>
        <v>54.716666666666669</v>
      </c>
      <c r="Q11" s="719">
        <f>huishoudens!P8</f>
        <v>76.266666666666666</v>
      </c>
      <c r="R11" s="721">
        <f>SUM(C11:Q11)</f>
        <v>68898.446926946694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2049.7371871348332</v>
      </c>
      <c r="D13" s="718">
        <f>industrie!C18</f>
        <v>0</v>
      </c>
      <c r="E13" s="718">
        <f>industrie!D18</f>
        <v>963.16697248527532</v>
      </c>
      <c r="F13" s="718">
        <f>industrie!E18</f>
        <v>235.98769597630115</v>
      </c>
      <c r="G13" s="718">
        <f>industrie!F18</f>
        <v>720.02780074595887</v>
      </c>
      <c r="H13" s="718">
        <f>industrie!G18</f>
        <v>0</v>
      </c>
      <c r="I13" s="718">
        <f>industrie!H18</f>
        <v>0</v>
      </c>
      <c r="J13" s="718">
        <f>industrie!I18</f>
        <v>0</v>
      </c>
      <c r="K13" s="718">
        <f>industrie!J18</f>
        <v>3.8746512834153832</v>
      </c>
      <c r="L13" s="718">
        <f>industrie!K18</f>
        <v>0</v>
      </c>
      <c r="M13" s="718">
        <f>industrie!L18</f>
        <v>0</v>
      </c>
      <c r="N13" s="718">
        <f>industrie!M18</f>
        <v>0</v>
      </c>
      <c r="O13" s="718">
        <f>industrie!N18</f>
        <v>466.43679185896673</v>
      </c>
      <c r="P13" s="718">
        <f>industrie!O18</f>
        <v>0</v>
      </c>
      <c r="Q13" s="719">
        <f>industrie!P18</f>
        <v>0</v>
      </c>
      <c r="R13" s="721">
        <f>SUM(C13:Q13)</f>
        <v>4439.2310994847503</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27123.610123753668</v>
      </c>
      <c r="D15" s="723">
        <f t="shared" ref="D15:Q15" ca="1" si="0">SUM(D9:D14)</f>
        <v>0</v>
      </c>
      <c r="E15" s="723">
        <f t="shared" ca="1" si="0"/>
        <v>63766.5324587492</v>
      </c>
      <c r="F15" s="723">
        <f t="shared" si="0"/>
        <v>629.88369838454355</v>
      </c>
      <c r="G15" s="723">
        <f t="shared" ca="1" si="0"/>
        <v>2437.9132265765625</v>
      </c>
      <c r="H15" s="723">
        <f t="shared" si="0"/>
        <v>0</v>
      </c>
      <c r="I15" s="723">
        <f t="shared" si="0"/>
        <v>0</v>
      </c>
      <c r="J15" s="723">
        <f t="shared" si="0"/>
        <v>0</v>
      </c>
      <c r="K15" s="723">
        <f t="shared" si="0"/>
        <v>3.8851574193555831</v>
      </c>
      <c r="L15" s="723">
        <f t="shared" si="0"/>
        <v>0</v>
      </c>
      <c r="M15" s="723">
        <f t="shared" ca="1" si="0"/>
        <v>0</v>
      </c>
      <c r="N15" s="723">
        <f t="shared" si="0"/>
        <v>0</v>
      </c>
      <c r="O15" s="723">
        <f t="shared" ca="1" si="0"/>
        <v>2590.7579569571762</v>
      </c>
      <c r="P15" s="723">
        <f t="shared" si="0"/>
        <v>54.716666666666669</v>
      </c>
      <c r="Q15" s="724">
        <f t="shared" si="0"/>
        <v>76.266666666666666</v>
      </c>
      <c r="R15" s="725">
        <f ca="1">SUM(R9:R14)</f>
        <v>96683.565955173821</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1012.6097123239144</v>
      </c>
      <c r="I18" s="718">
        <f>transport!H54</f>
        <v>0</v>
      </c>
      <c r="J18" s="718">
        <f>transport!I54</f>
        <v>0</v>
      </c>
      <c r="K18" s="718">
        <f>transport!J54</f>
        <v>0</v>
      </c>
      <c r="L18" s="718">
        <f>transport!K54</f>
        <v>0</v>
      </c>
      <c r="M18" s="718">
        <f>transport!L54</f>
        <v>0</v>
      </c>
      <c r="N18" s="718">
        <f>transport!M54</f>
        <v>57.511761417075533</v>
      </c>
      <c r="O18" s="718">
        <f>transport!N54</f>
        <v>0</v>
      </c>
      <c r="P18" s="718">
        <f>transport!O54</f>
        <v>0</v>
      </c>
      <c r="Q18" s="719">
        <f>transport!P54</f>
        <v>0</v>
      </c>
      <c r="R18" s="721">
        <f>SUM(C18:Q18)</f>
        <v>1070.12147374099</v>
      </c>
      <c r="S18" s="67"/>
    </row>
    <row r="19" spans="1:19" s="474" customFormat="1" ht="15" thickBot="1">
      <c r="A19" s="870" t="s">
        <v>307</v>
      </c>
      <c r="B19" s="875"/>
      <c r="C19" s="727">
        <f>transport!B14</f>
        <v>12.594255529319806</v>
      </c>
      <c r="D19" s="727">
        <f>transport!C14</f>
        <v>0</v>
      </c>
      <c r="E19" s="727">
        <f>transport!D14</f>
        <v>41.684770136017669</v>
      </c>
      <c r="F19" s="727">
        <f>transport!E14</f>
        <v>56.045601440186857</v>
      </c>
      <c r="G19" s="727">
        <f>transport!F14</f>
        <v>0</v>
      </c>
      <c r="H19" s="727">
        <f>transport!G14</f>
        <v>22518.230083817522</v>
      </c>
      <c r="I19" s="727">
        <f>transport!H14</f>
        <v>4714.1706115586076</v>
      </c>
      <c r="J19" s="727">
        <f>transport!I14</f>
        <v>0</v>
      </c>
      <c r="K19" s="727">
        <f>transport!J14</f>
        <v>0</v>
      </c>
      <c r="L19" s="727">
        <f>transport!K14</f>
        <v>0</v>
      </c>
      <c r="M19" s="727">
        <f>transport!L14</f>
        <v>0</v>
      </c>
      <c r="N19" s="727">
        <f>transport!M14</f>
        <v>1455.5573607443635</v>
      </c>
      <c r="O19" s="727">
        <f>transport!N14</f>
        <v>0</v>
      </c>
      <c r="P19" s="727">
        <f>transport!O14</f>
        <v>0</v>
      </c>
      <c r="Q19" s="728">
        <f>transport!P14</f>
        <v>0</v>
      </c>
      <c r="R19" s="729">
        <f>SUM(C19:Q19)</f>
        <v>28798.282683226014</v>
      </c>
      <c r="S19" s="67"/>
    </row>
    <row r="20" spans="1:19" s="474" customFormat="1" ht="15.75" thickBot="1">
      <c r="A20" s="730" t="s">
        <v>230</v>
      </c>
      <c r="B20" s="878"/>
      <c r="C20" s="873">
        <f>SUM(C17:C19)</f>
        <v>12.594255529319806</v>
      </c>
      <c r="D20" s="731">
        <f t="shared" ref="D20:R20" si="1">SUM(D17:D19)</f>
        <v>0</v>
      </c>
      <c r="E20" s="731">
        <f t="shared" si="1"/>
        <v>41.684770136017669</v>
      </c>
      <c r="F20" s="731">
        <f t="shared" si="1"/>
        <v>56.045601440186857</v>
      </c>
      <c r="G20" s="731">
        <f t="shared" si="1"/>
        <v>0</v>
      </c>
      <c r="H20" s="731">
        <f t="shared" si="1"/>
        <v>23530.839796141438</v>
      </c>
      <c r="I20" s="731">
        <f t="shared" si="1"/>
        <v>4714.1706115586076</v>
      </c>
      <c r="J20" s="731">
        <f t="shared" si="1"/>
        <v>0</v>
      </c>
      <c r="K20" s="731">
        <f t="shared" si="1"/>
        <v>0</v>
      </c>
      <c r="L20" s="731">
        <f t="shared" si="1"/>
        <v>0</v>
      </c>
      <c r="M20" s="731">
        <f t="shared" si="1"/>
        <v>0</v>
      </c>
      <c r="N20" s="731">
        <f t="shared" si="1"/>
        <v>1513.0691221614391</v>
      </c>
      <c r="O20" s="731">
        <f t="shared" si="1"/>
        <v>0</v>
      </c>
      <c r="P20" s="731">
        <f t="shared" si="1"/>
        <v>0</v>
      </c>
      <c r="Q20" s="732">
        <f t="shared" si="1"/>
        <v>0</v>
      </c>
      <c r="R20" s="733">
        <f t="shared" si="1"/>
        <v>29868.404156967004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233.15532520049499</v>
      </c>
      <c r="D22" s="727">
        <f>+landbouw!C8</f>
        <v>20031.428571428572</v>
      </c>
      <c r="E22" s="727">
        <f>+landbouw!D8</f>
        <v>0</v>
      </c>
      <c r="F22" s="727">
        <f>+landbouw!E8</f>
        <v>6.8531471462018114</v>
      </c>
      <c r="G22" s="727">
        <f>+landbouw!F8</f>
        <v>971.31248573278322</v>
      </c>
      <c r="H22" s="727">
        <f>+landbouw!G8</f>
        <v>0</v>
      </c>
      <c r="I22" s="727">
        <f>+landbouw!H8</f>
        <v>0</v>
      </c>
      <c r="J22" s="727">
        <f>+landbouw!I8</f>
        <v>0</v>
      </c>
      <c r="K22" s="727">
        <f>+landbouw!J8</f>
        <v>33.779199553627706</v>
      </c>
      <c r="L22" s="727">
        <f>+landbouw!K8</f>
        <v>0</v>
      </c>
      <c r="M22" s="727">
        <f>+landbouw!L8</f>
        <v>0</v>
      </c>
      <c r="N22" s="727">
        <f>+landbouw!M8</f>
        <v>0</v>
      </c>
      <c r="O22" s="727">
        <f>+landbouw!N8</f>
        <v>0</v>
      </c>
      <c r="P22" s="727">
        <f>+landbouw!O8</f>
        <v>0</v>
      </c>
      <c r="Q22" s="728">
        <f>+landbouw!P8</f>
        <v>0</v>
      </c>
      <c r="R22" s="729">
        <f>SUM(C22:Q22)</f>
        <v>21276.52872906168</v>
      </c>
      <c r="S22" s="67"/>
    </row>
    <row r="23" spans="1:19" s="474" customFormat="1" ht="17.25" thickTop="1" thickBot="1">
      <c r="A23" s="734" t="s">
        <v>116</v>
      </c>
      <c r="B23" s="864"/>
      <c r="C23" s="735">
        <f ca="1">C20+C15+C22</f>
        <v>27369.359704483482</v>
      </c>
      <c r="D23" s="735">
        <f t="shared" ref="D23:Q23" ca="1" si="2">D20+D15+D22</f>
        <v>20031.428571428572</v>
      </c>
      <c r="E23" s="735">
        <f t="shared" ca="1" si="2"/>
        <v>63808.217228885216</v>
      </c>
      <c r="F23" s="735">
        <f t="shared" si="2"/>
        <v>692.78244697093214</v>
      </c>
      <c r="G23" s="735">
        <f t="shared" ca="1" si="2"/>
        <v>3409.2257123093459</v>
      </c>
      <c r="H23" s="735">
        <f t="shared" si="2"/>
        <v>23530.839796141438</v>
      </c>
      <c r="I23" s="735">
        <f t="shared" si="2"/>
        <v>4714.1706115586076</v>
      </c>
      <c r="J23" s="735">
        <f t="shared" si="2"/>
        <v>0</v>
      </c>
      <c r="K23" s="735">
        <f t="shared" si="2"/>
        <v>37.664356972983292</v>
      </c>
      <c r="L23" s="735">
        <f t="shared" si="2"/>
        <v>0</v>
      </c>
      <c r="M23" s="735">
        <f t="shared" ca="1" si="2"/>
        <v>0</v>
      </c>
      <c r="N23" s="735">
        <f t="shared" si="2"/>
        <v>1513.0691221614391</v>
      </c>
      <c r="O23" s="735">
        <f t="shared" ca="1" si="2"/>
        <v>2590.7579569571762</v>
      </c>
      <c r="P23" s="735">
        <f t="shared" si="2"/>
        <v>54.716666666666669</v>
      </c>
      <c r="Q23" s="736">
        <f t="shared" si="2"/>
        <v>76.266666666666666</v>
      </c>
      <c r="R23" s="737">
        <f ca="1">R20+R15+R22</f>
        <v>147828.4988412025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2253.7874011131075</v>
      </c>
      <c r="D36" s="718">
        <f ca="1">tertiair!C20</f>
        <v>0</v>
      </c>
      <c r="E36" s="718">
        <f ca="1">tertiair!D20</f>
        <v>2199.1269933348572</v>
      </c>
      <c r="F36" s="718">
        <f>tertiair!E20</f>
        <v>49.128276389408768</v>
      </c>
      <c r="G36" s="718">
        <f ca="1">tertiair!F20</f>
        <v>458.67540869677117</v>
      </c>
      <c r="H36" s="718">
        <f>tertiair!G20</f>
        <v>0</v>
      </c>
      <c r="I36" s="718">
        <f>tertiair!H20</f>
        <v>0</v>
      </c>
      <c r="J36" s="718">
        <f>tertiair!I20</f>
        <v>0</v>
      </c>
      <c r="K36" s="718">
        <f>tertiair!J20</f>
        <v>3.7191721228307154E-3</v>
      </c>
      <c r="L36" s="718">
        <f>tertiair!K20</f>
        <v>0</v>
      </c>
      <c r="M36" s="718">
        <f ca="1">tertiair!L20</f>
        <v>0</v>
      </c>
      <c r="N36" s="718">
        <f>tertiair!M20</f>
        <v>0</v>
      </c>
      <c r="O36" s="718">
        <f ca="1">tertiair!N20</f>
        <v>0</v>
      </c>
      <c r="P36" s="718">
        <f>tertiair!O20</f>
        <v>0</v>
      </c>
      <c r="Q36" s="828">
        <f>tertiair!P20</f>
        <v>0</v>
      </c>
      <c r="R36" s="917">
        <f ca="1">SUM(C36:Q36)</f>
        <v>4960.7217987062677</v>
      </c>
    </row>
    <row r="37" spans="1:18">
      <c r="A37" s="885" t="s">
        <v>225</v>
      </c>
      <c r="B37" s="892"/>
      <c r="C37" s="718">
        <f ca="1">huishoudens!B12</f>
        <v>3344.7268072793991</v>
      </c>
      <c r="D37" s="718">
        <f ca="1">huishoudens!C12</f>
        <v>0</v>
      </c>
      <c r="E37" s="718">
        <f>huishoudens!D12</f>
        <v>10487.152834890456</v>
      </c>
      <c r="F37" s="718">
        <f>huishoudens!E12</f>
        <v>40.286116157262242</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13872.165758327117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457.66694258411206</v>
      </c>
      <c r="D39" s="718">
        <f ca="1">industrie!C22</f>
        <v>0</v>
      </c>
      <c r="E39" s="718">
        <f>industrie!D22</f>
        <v>194.55972844202563</v>
      </c>
      <c r="F39" s="718">
        <f>industrie!E22</f>
        <v>53.569206986620365</v>
      </c>
      <c r="G39" s="718">
        <f>industrie!F22</f>
        <v>192.24742279917103</v>
      </c>
      <c r="H39" s="718">
        <f>industrie!G22</f>
        <v>0</v>
      </c>
      <c r="I39" s="718">
        <f>industrie!H22</f>
        <v>0</v>
      </c>
      <c r="J39" s="718">
        <f>industrie!I22</f>
        <v>0</v>
      </c>
      <c r="K39" s="718">
        <f>industrie!J22</f>
        <v>1.3716265543290456</v>
      </c>
      <c r="L39" s="718">
        <f>industrie!K22</f>
        <v>0</v>
      </c>
      <c r="M39" s="718">
        <f>industrie!L22</f>
        <v>0</v>
      </c>
      <c r="N39" s="718">
        <f>industrie!M22</f>
        <v>0</v>
      </c>
      <c r="O39" s="718">
        <f>industrie!N22</f>
        <v>0</v>
      </c>
      <c r="P39" s="718">
        <f>industrie!O22</f>
        <v>0</v>
      </c>
      <c r="Q39" s="828">
        <f>industrie!P22</f>
        <v>0</v>
      </c>
      <c r="R39" s="918">
        <f ca="1">SUM(C39:Q39)</f>
        <v>899.41492736625798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6056.1811509766185</v>
      </c>
      <c r="D41" s="763">
        <f t="shared" ref="D41:R41" ca="1" si="4">SUM(D35:D40)</f>
        <v>0</v>
      </c>
      <c r="E41" s="763">
        <f t="shared" ca="1" si="4"/>
        <v>12880.839556667339</v>
      </c>
      <c r="F41" s="763">
        <f t="shared" si="4"/>
        <v>142.98359953329137</v>
      </c>
      <c r="G41" s="763">
        <f t="shared" ca="1" si="4"/>
        <v>650.92283149594221</v>
      </c>
      <c r="H41" s="763">
        <f t="shared" si="4"/>
        <v>0</v>
      </c>
      <c r="I41" s="763">
        <f t="shared" si="4"/>
        <v>0</v>
      </c>
      <c r="J41" s="763">
        <f t="shared" si="4"/>
        <v>0</v>
      </c>
      <c r="K41" s="763">
        <f t="shared" si="4"/>
        <v>1.3753457264518762</v>
      </c>
      <c r="L41" s="763">
        <f t="shared" si="4"/>
        <v>0</v>
      </c>
      <c r="M41" s="763">
        <f t="shared" ca="1" si="4"/>
        <v>0</v>
      </c>
      <c r="N41" s="763">
        <f t="shared" si="4"/>
        <v>0</v>
      </c>
      <c r="O41" s="763">
        <f t="shared" ca="1" si="4"/>
        <v>0</v>
      </c>
      <c r="P41" s="763">
        <f t="shared" si="4"/>
        <v>0</v>
      </c>
      <c r="Q41" s="764">
        <f t="shared" si="4"/>
        <v>0</v>
      </c>
      <c r="R41" s="765">
        <f t="shared" ca="1" si="4"/>
        <v>19732.302484399643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270.36679319048517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270.36679319048517</v>
      </c>
    </row>
    <row r="45" spans="1:18" ht="15" thickBot="1">
      <c r="A45" s="888" t="s">
        <v>307</v>
      </c>
      <c r="B45" s="898"/>
      <c r="C45" s="727">
        <f ca="1">transport!B18</f>
        <v>2.8120553495367138</v>
      </c>
      <c r="D45" s="727">
        <f>transport!C18</f>
        <v>0</v>
      </c>
      <c r="E45" s="727">
        <f>transport!D18</f>
        <v>8.4203235674755703</v>
      </c>
      <c r="F45" s="727">
        <f>transport!E18</f>
        <v>12.722351526922417</v>
      </c>
      <c r="G45" s="727">
        <f>transport!F18</f>
        <v>0</v>
      </c>
      <c r="H45" s="727">
        <f>transport!G18</f>
        <v>6012.3674323792784</v>
      </c>
      <c r="I45" s="727">
        <f>transport!H18</f>
        <v>1173.8284822780934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7210.1506451013065</v>
      </c>
    </row>
    <row r="46" spans="1:18" ht="15.75" thickBot="1">
      <c r="A46" s="886" t="s">
        <v>230</v>
      </c>
      <c r="B46" s="899"/>
      <c r="C46" s="763">
        <f t="shared" ref="C46:R46" ca="1" si="5">SUM(C43:C45)</f>
        <v>2.8120553495367138</v>
      </c>
      <c r="D46" s="763">
        <f t="shared" ca="1" si="5"/>
        <v>0</v>
      </c>
      <c r="E46" s="763">
        <f t="shared" si="5"/>
        <v>8.4203235674755703</v>
      </c>
      <c r="F46" s="763">
        <f t="shared" si="5"/>
        <v>12.722351526922417</v>
      </c>
      <c r="G46" s="763">
        <f t="shared" si="5"/>
        <v>0</v>
      </c>
      <c r="H46" s="763">
        <f t="shared" si="5"/>
        <v>6282.734225569764</v>
      </c>
      <c r="I46" s="763">
        <f t="shared" si="5"/>
        <v>1173.8284822780934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7480.5174382917921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52.059105675334379</v>
      </c>
      <c r="D48" s="718">
        <f ca="1">+landbouw!C12</f>
        <v>4760.4100840336141</v>
      </c>
      <c r="E48" s="718">
        <f>+landbouw!D12</f>
        <v>0</v>
      </c>
      <c r="F48" s="718">
        <f>+landbouw!E12</f>
        <v>1.5556644021878112</v>
      </c>
      <c r="G48" s="718">
        <f>+landbouw!F12</f>
        <v>259.34043369065313</v>
      </c>
      <c r="H48" s="718">
        <f>+landbouw!G12</f>
        <v>0</v>
      </c>
      <c r="I48" s="718">
        <f>+landbouw!H12</f>
        <v>0</v>
      </c>
      <c r="J48" s="718">
        <f>+landbouw!I12</f>
        <v>0</v>
      </c>
      <c r="K48" s="718">
        <f>+landbouw!J12</f>
        <v>11.957836641984207</v>
      </c>
      <c r="L48" s="718">
        <f>+landbouw!K12</f>
        <v>0</v>
      </c>
      <c r="M48" s="718">
        <f>+landbouw!L12</f>
        <v>0</v>
      </c>
      <c r="N48" s="718">
        <f>+landbouw!M12</f>
        <v>0</v>
      </c>
      <c r="O48" s="718">
        <f>+landbouw!N12</f>
        <v>0</v>
      </c>
      <c r="P48" s="718">
        <f>+landbouw!O12</f>
        <v>0</v>
      </c>
      <c r="Q48" s="719">
        <f>+landbouw!P12</f>
        <v>0</v>
      </c>
      <c r="R48" s="761">
        <f ca="1">SUM(C48:Q48)</f>
        <v>5085.3231244437748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6111.0523120014896</v>
      </c>
      <c r="D53" s="773">
        <f t="shared" ref="D53:Q53" ca="1" si="6">D41+D46+D48</f>
        <v>4760.4100840336141</v>
      </c>
      <c r="E53" s="773">
        <f t="shared" ca="1" si="6"/>
        <v>12889.259880234815</v>
      </c>
      <c r="F53" s="773">
        <f t="shared" si="6"/>
        <v>157.26161546240158</v>
      </c>
      <c r="G53" s="773">
        <f t="shared" ca="1" si="6"/>
        <v>910.26326518659539</v>
      </c>
      <c r="H53" s="773">
        <f t="shared" si="6"/>
        <v>6282.734225569764</v>
      </c>
      <c r="I53" s="773">
        <f t="shared" si="6"/>
        <v>1173.8284822780934</v>
      </c>
      <c r="J53" s="773">
        <f t="shared" si="6"/>
        <v>0</v>
      </c>
      <c r="K53" s="773">
        <f t="shared" si="6"/>
        <v>13.333182368436082</v>
      </c>
      <c r="L53" s="773">
        <f t="shared" si="6"/>
        <v>0</v>
      </c>
      <c r="M53" s="773">
        <f t="shared" ca="1" si="6"/>
        <v>0</v>
      </c>
      <c r="N53" s="773">
        <f t="shared" si="6"/>
        <v>0</v>
      </c>
      <c r="O53" s="773">
        <f t="shared" ca="1" si="6"/>
        <v>0</v>
      </c>
      <c r="P53" s="773">
        <f>P41+P46+P48</f>
        <v>0</v>
      </c>
      <c r="Q53" s="774">
        <f t="shared" si="6"/>
        <v>0</v>
      </c>
      <c r="R53" s="775">
        <f ca="1">R41+R46+R48</f>
        <v>32298.143047135211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0.22328079202380516</v>
      </c>
      <c r="D55" s="836">
        <f t="shared" ca="1" si="7"/>
        <v>0.23764705882352943</v>
      </c>
      <c r="E55" s="836">
        <f t="shared" ca="1" si="7"/>
        <v>0.20200000000000001</v>
      </c>
      <c r="F55" s="836">
        <f t="shared" si="7"/>
        <v>0.22699999999999998</v>
      </c>
      <c r="G55" s="836">
        <f t="shared" ca="1" si="7"/>
        <v>0.26700000000000002</v>
      </c>
      <c r="H55" s="836">
        <f t="shared" si="7"/>
        <v>0.26700000000000002</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773.76127381397714</v>
      </c>
      <c r="C66" s="795">
        <f>'lokale energieproductie'!B6</f>
        <v>773.76127381397714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14022</v>
      </c>
      <c r="C67" s="794">
        <f>B67*IFERROR(SUM(J67:L67)/SUM(D67:M67),0)</f>
        <v>0</v>
      </c>
      <c r="D67" s="826">
        <f>'lokale energieproductie'!C7</f>
        <v>16496.470588235294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3332.2870588235296</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14795.761273813978</v>
      </c>
      <c r="C69" s="803">
        <f>SUM(C64:C68)</f>
        <v>773.76127381397714</v>
      </c>
      <c r="D69" s="804">
        <f t="shared" ref="D69:M69" si="8">SUM(D67:D68)</f>
        <v>16496.470588235294</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3332.2870588235296</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20031.428571428572</v>
      </c>
      <c r="C78" s="817">
        <f>B78*IFERROR(SUM(I78:L78)/SUM(D78:M78),0)</f>
        <v>0</v>
      </c>
      <c r="D78" s="832">
        <f>'lokale energieproductie'!C16</f>
        <v>23566.386554621851</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4760.4100840336141</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20031.428571428572</v>
      </c>
      <c r="C81" s="803">
        <f>SUM(C78:C80)</f>
        <v>0</v>
      </c>
      <c r="D81" s="803">
        <f t="shared" ref="D81:P81" si="9">SUM(D78:D80)</f>
        <v>23566.386554621851</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4760.4100840336141</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14979.912857541278</v>
      </c>
      <c r="C4" s="478">
        <f>huishoudens!C8</f>
        <v>0</v>
      </c>
      <c r="D4" s="478">
        <f>huishoudens!D8</f>
        <v>51916.59819252701</v>
      </c>
      <c r="E4" s="478">
        <f>huishoudens!E8</f>
        <v>177.47187734476759</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1693.4806662003134</v>
      </c>
      <c r="O4" s="478">
        <f>huishoudens!O8</f>
        <v>54.716666666666669</v>
      </c>
      <c r="P4" s="479">
        <f>huishoudens!P8</f>
        <v>76.266666666666666</v>
      </c>
      <c r="Q4" s="480">
        <f>SUM(B4:P4)</f>
        <v>68898.446926946694</v>
      </c>
    </row>
    <row r="5" spans="1:17">
      <c r="A5" s="477" t="s">
        <v>156</v>
      </c>
      <c r="B5" s="478">
        <f ca="1">tertiair!B16</f>
        <v>9618.8070790775564</v>
      </c>
      <c r="C5" s="478">
        <f ca="1">tertiair!C16</f>
        <v>0</v>
      </c>
      <c r="D5" s="478">
        <f ca="1">tertiair!D16</f>
        <v>10886.767293736917</v>
      </c>
      <c r="E5" s="478">
        <f>tertiair!E16</f>
        <v>216.42412506347475</v>
      </c>
      <c r="F5" s="478">
        <f ca="1">tertiair!F16</f>
        <v>1717.8854258306035</v>
      </c>
      <c r="G5" s="478">
        <f>tertiair!G16</f>
        <v>0</v>
      </c>
      <c r="H5" s="478">
        <f>tertiair!H16</f>
        <v>0</v>
      </c>
      <c r="I5" s="478">
        <f>tertiair!I16</f>
        <v>0</v>
      </c>
      <c r="J5" s="478">
        <f>tertiair!J16</f>
        <v>1.0506135940199762E-2</v>
      </c>
      <c r="K5" s="478">
        <f>tertiair!K16</f>
        <v>0</v>
      </c>
      <c r="L5" s="478">
        <f ca="1">tertiair!L16</f>
        <v>0</v>
      </c>
      <c r="M5" s="478">
        <f>tertiair!M16</f>
        <v>0</v>
      </c>
      <c r="N5" s="478">
        <f ca="1">tertiair!N16</f>
        <v>430.84049889789605</v>
      </c>
      <c r="O5" s="478">
        <f>tertiair!O16</f>
        <v>0</v>
      </c>
      <c r="P5" s="479">
        <f>tertiair!P16</f>
        <v>0</v>
      </c>
      <c r="Q5" s="477">
        <f t="shared" ref="Q5:Q13" ca="1" si="0">SUM(B5:P5)</f>
        <v>22870.734928742382</v>
      </c>
    </row>
    <row r="6" spans="1:17">
      <c r="A6" s="477" t="s">
        <v>194</v>
      </c>
      <c r="B6" s="478">
        <f>'openbare verlichting'!B8</f>
        <v>475.15300000000002</v>
      </c>
      <c r="C6" s="478"/>
      <c r="D6" s="478"/>
      <c r="E6" s="478"/>
      <c r="F6" s="478"/>
      <c r="G6" s="478"/>
      <c r="H6" s="478"/>
      <c r="I6" s="478"/>
      <c r="J6" s="478"/>
      <c r="K6" s="478"/>
      <c r="L6" s="478"/>
      <c r="M6" s="478"/>
      <c r="N6" s="478"/>
      <c r="O6" s="478"/>
      <c r="P6" s="479"/>
      <c r="Q6" s="477">
        <f t="shared" si="0"/>
        <v>475.15300000000002</v>
      </c>
    </row>
    <row r="7" spans="1:17">
      <c r="A7" s="477" t="s">
        <v>112</v>
      </c>
      <c r="B7" s="478">
        <f>landbouw!B8</f>
        <v>233.15532520049499</v>
      </c>
      <c r="C7" s="478">
        <f>landbouw!C8</f>
        <v>20031.428571428572</v>
      </c>
      <c r="D7" s="478">
        <f>landbouw!D8</f>
        <v>0</v>
      </c>
      <c r="E7" s="478">
        <f>landbouw!E8</f>
        <v>6.8531471462018114</v>
      </c>
      <c r="F7" s="478">
        <f>landbouw!F8</f>
        <v>971.31248573278322</v>
      </c>
      <c r="G7" s="478">
        <f>landbouw!G8</f>
        <v>0</v>
      </c>
      <c r="H7" s="478">
        <f>landbouw!H8</f>
        <v>0</v>
      </c>
      <c r="I7" s="478">
        <f>landbouw!I8</f>
        <v>0</v>
      </c>
      <c r="J7" s="478">
        <f>landbouw!J8</f>
        <v>33.779199553627706</v>
      </c>
      <c r="K7" s="478">
        <f>landbouw!K8</f>
        <v>0</v>
      </c>
      <c r="L7" s="478">
        <f>landbouw!L8</f>
        <v>0</v>
      </c>
      <c r="M7" s="478">
        <f>landbouw!M8</f>
        <v>0</v>
      </c>
      <c r="N7" s="478">
        <f>landbouw!N8</f>
        <v>0</v>
      </c>
      <c r="O7" s="478">
        <f>landbouw!O8</f>
        <v>0</v>
      </c>
      <c r="P7" s="479">
        <f>landbouw!P8</f>
        <v>0</v>
      </c>
      <c r="Q7" s="477">
        <f t="shared" si="0"/>
        <v>21276.52872906168</v>
      </c>
    </row>
    <row r="8" spans="1:17">
      <c r="A8" s="477" t="s">
        <v>635</v>
      </c>
      <c r="B8" s="478">
        <f>industrie!B18</f>
        <v>2049.7371871348332</v>
      </c>
      <c r="C8" s="478">
        <f>industrie!C18</f>
        <v>0</v>
      </c>
      <c r="D8" s="478">
        <f>industrie!D18</f>
        <v>963.16697248527532</v>
      </c>
      <c r="E8" s="478">
        <f>industrie!E18</f>
        <v>235.98769597630115</v>
      </c>
      <c r="F8" s="478">
        <f>industrie!F18</f>
        <v>720.02780074595887</v>
      </c>
      <c r="G8" s="478">
        <f>industrie!G18</f>
        <v>0</v>
      </c>
      <c r="H8" s="478">
        <f>industrie!H18</f>
        <v>0</v>
      </c>
      <c r="I8" s="478">
        <f>industrie!I18</f>
        <v>0</v>
      </c>
      <c r="J8" s="478">
        <f>industrie!J18</f>
        <v>3.8746512834153832</v>
      </c>
      <c r="K8" s="478">
        <f>industrie!K18</f>
        <v>0</v>
      </c>
      <c r="L8" s="478">
        <f>industrie!L18</f>
        <v>0</v>
      </c>
      <c r="M8" s="478">
        <f>industrie!M18</f>
        <v>0</v>
      </c>
      <c r="N8" s="478">
        <f>industrie!N18</f>
        <v>466.43679185896673</v>
      </c>
      <c r="O8" s="478">
        <f>industrie!O18</f>
        <v>0</v>
      </c>
      <c r="P8" s="479">
        <f>industrie!P18</f>
        <v>0</v>
      </c>
      <c r="Q8" s="477">
        <f t="shared" si="0"/>
        <v>4439.2310994847503</v>
      </c>
    </row>
    <row r="9" spans="1:17" s="483" customFormat="1">
      <c r="A9" s="481" t="s">
        <v>561</v>
      </c>
      <c r="B9" s="482">
        <f>transport!B14</f>
        <v>12.594255529319806</v>
      </c>
      <c r="C9" s="482">
        <f>transport!C14</f>
        <v>0</v>
      </c>
      <c r="D9" s="482">
        <f>transport!D14</f>
        <v>41.684770136017669</v>
      </c>
      <c r="E9" s="482">
        <f>transport!E14</f>
        <v>56.045601440186857</v>
      </c>
      <c r="F9" s="482">
        <f>transport!F14</f>
        <v>0</v>
      </c>
      <c r="G9" s="482">
        <f>transport!G14</f>
        <v>22518.230083817522</v>
      </c>
      <c r="H9" s="482">
        <f>transport!H14</f>
        <v>4714.1706115586076</v>
      </c>
      <c r="I9" s="482">
        <f>transport!I14</f>
        <v>0</v>
      </c>
      <c r="J9" s="482">
        <f>transport!J14</f>
        <v>0</v>
      </c>
      <c r="K9" s="482">
        <f>transport!K14</f>
        <v>0</v>
      </c>
      <c r="L9" s="482">
        <f>transport!L14</f>
        <v>0</v>
      </c>
      <c r="M9" s="482">
        <f>transport!M14</f>
        <v>1455.5573607443635</v>
      </c>
      <c r="N9" s="482">
        <f>transport!N14</f>
        <v>0</v>
      </c>
      <c r="O9" s="482">
        <f>transport!O14</f>
        <v>0</v>
      </c>
      <c r="P9" s="482">
        <f>transport!P14</f>
        <v>0</v>
      </c>
      <c r="Q9" s="481">
        <f>SUM(B9:P9)</f>
        <v>28798.282683226014</v>
      </c>
    </row>
    <row r="10" spans="1:17">
      <c r="A10" s="477" t="s">
        <v>551</v>
      </c>
      <c r="B10" s="478">
        <f>transport!B54</f>
        <v>0</v>
      </c>
      <c r="C10" s="478">
        <f>transport!C54</f>
        <v>0</v>
      </c>
      <c r="D10" s="478">
        <f>transport!D54</f>
        <v>0</v>
      </c>
      <c r="E10" s="478">
        <f>transport!E54</f>
        <v>0</v>
      </c>
      <c r="F10" s="478">
        <f>transport!F54</f>
        <v>0</v>
      </c>
      <c r="G10" s="478">
        <f>transport!G54</f>
        <v>1012.6097123239144</v>
      </c>
      <c r="H10" s="478">
        <f>transport!H54</f>
        <v>0</v>
      </c>
      <c r="I10" s="478">
        <f>transport!I54</f>
        <v>0</v>
      </c>
      <c r="J10" s="478">
        <f>transport!J54</f>
        <v>0</v>
      </c>
      <c r="K10" s="478">
        <f>transport!K54</f>
        <v>0</v>
      </c>
      <c r="L10" s="478">
        <f>transport!L54</f>
        <v>0</v>
      </c>
      <c r="M10" s="478">
        <f>transport!M54</f>
        <v>57.511761417075533</v>
      </c>
      <c r="N10" s="478">
        <f>transport!N54</f>
        <v>0</v>
      </c>
      <c r="O10" s="478">
        <f>transport!O54</f>
        <v>0</v>
      </c>
      <c r="P10" s="479">
        <f>transport!P54</f>
        <v>0</v>
      </c>
      <c r="Q10" s="477">
        <f t="shared" si="0"/>
        <v>1070.12147374099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27369.359704483482</v>
      </c>
      <c r="C14" s="488">
        <f t="shared" ref="C14:Q14" ca="1" si="1">SUM(C4:C13)</f>
        <v>20031.428571428572</v>
      </c>
      <c r="D14" s="488">
        <f t="shared" ca="1" si="1"/>
        <v>63808.217228885216</v>
      </c>
      <c r="E14" s="488">
        <f t="shared" si="1"/>
        <v>692.78244697093214</v>
      </c>
      <c r="F14" s="488">
        <f t="shared" ca="1" si="1"/>
        <v>3409.2257123093455</v>
      </c>
      <c r="G14" s="488">
        <f t="shared" si="1"/>
        <v>23530.839796141438</v>
      </c>
      <c r="H14" s="488">
        <f t="shared" si="1"/>
        <v>4714.1706115586076</v>
      </c>
      <c r="I14" s="488">
        <f t="shared" si="1"/>
        <v>0</v>
      </c>
      <c r="J14" s="488">
        <f t="shared" si="1"/>
        <v>37.664356972983285</v>
      </c>
      <c r="K14" s="488">
        <f t="shared" si="1"/>
        <v>0</v>
      </c>
      <c r="L14" s="488">
        <f t="shared" ca="1" si="1"/>
        <v>0</v>
      </c>
      <c r="M14" s="488">
        <f t="shared" si="1"/>
        <v>1513.0691221614391</v>
      </c>
      <c r="N14" s="488">
        <f t="shared" ca="1" si="1"/>
        <v>2590.7579569571762</v>
      </c>
      <c r="O14" s="488">
        <f t="shared" si="1"/>
        <v>54.716666666666669</v>
      </c>
      <c r="P14" s="489">
        <f t="shared" si="1"/>
        <v>76.266666666666666</v>
      </c>
      <c r="Q14" s="489">
        <f t="shared" ca="1" si="1"/>
        <v>147828.49884120253</v>
      </c>
    </row>
    <row r="16" spans="1:17">
      <c r="A16" s="491" t="s">
        <v>556</v>
      </c>
      <c r="B16" s="841">
        <f ca="1">huishoudens!B10</f>
        <v>0.22328079202380516</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3344.7268072793991</v>
      </c>
      <c r="C21" s="478">
        <f t="shared" ref="C21:C30" ca="1" si="3">C4*$C$16</f>
        <v>0</v>
      </c>
      <c r="D21" s="478">
        <f t="shared" ref="D21:D30" si="4">D4*$D$16</f>
        <v>10487.152834890456</v>
      </c>
      <c r="E21" s="478">
        <f t="shared" ref="E21:E30" si="5">E4*$E$16</f>
        <v>40.286116157262242</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13872.165758327117</v>
      </c>
    </row>
    <row r="22" spans="1:17">
      <c r="A22" s="477" t="s">
        <v>156</v>
      </c>
      <c r="B22" s="478">
        <f t="shared" ca="1" si="2"/>
        <v>2147.6948629406206</v>
      </c>
      <c r="C22" s="478">
        <f t="shared" ca="1" si="3"/>
        <v>0</v>
      </c>
      <c r="D22" s="478">
        <f t="shared" ca="1" si="4"/>
        <v>2199.1269933348572</v>
      </c>
      <c r="E22" s="478">
        <f t="shared" si="5"/>
        <v>49.128276389408768</v>
      </c>
      <c r="F22" s="478">
        <f t="shared" ca="1" si="6"/>
        <v>458.67540869677117</v>
      </c>
      <c r="G22" s="478">
        <f t="shared" si="7"/>
        <v>0</v>
      </c>
      <c r="H22" s="478">
        <f t="shared" si="8"/>
        <v>0</v>
      </c>
      <c r="I22" s="478">
        <f t="shared" si="9"/>
        <v>0</v>
      </c>
      <c r="J22" s="478">
        <f t="shared" si="10"/>
        <v>3.7191721228307154E-3</v>
      </c>
      <c r="K22" s="478">
        <f t="shared" si="11"/>
        <v>0</v>
      </c>
      <c r="L22" s="478">
        <f t="shared" ca="1" si="12"/>
        <v>0</v>
      </c>
      <c r="M22" s="478">
        <f t="shared" si="13"/>
        <v>0</v>
      </c>
      <c r="N22" s="478">
        <f t="shared" ca="1" si="14"/>
        <v>0</v>
      </c>
      <c r="O22" s="478">
        <f t="shared" si="15"/>
        <v>0</v>
      </c>
      <c r="P22" s="479">
        <f t="shared" si="16"/>
        <v>0</v>
      </c>
      <c r="Q22" s="477">
        <f t="shared" ref="Q22:Q30" ca="1" si="17">SUM(B22:P22)</f>
        <v>4854.6292605337803</v>
      </c>
    </row>
    <row r="23" spans="1:17">
      <c r="A23" s="477" t="s">
        <v>194</v>
      </c>
      <c r="B23" s="478">
        <f t="shared" ca="1" si="2"/>
        <v>106.0925381724871</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106.0925381724871</v>
      </c>
    </row>
    <row r="24" spans="1:17">
      <c r="A24" s="477" t="s">
        <v>112</v>
      </c>
      <c r="B24" s="478">
        <f t="shared" ca="1" si="2"/>
        <v>52.059105675334379</v>
      </c>
      <c r="C24" s="478">
        <f t="shared" ca="1" si="3"/>
        <v>4760.4100840336141</v>
      </c>
      <c r="D24" s="478">
        <f t="shared" si="4"/>
        <v>0</v>
      </c>
      <c r="E24" s="478">
        <f t="shared" si="5"/>
        <v>1.5556644021878112</v>
      </c>
      <c r="F24" s="478">
        <f t="shared" si="6"/>
        <v>259.34043369065313</v>
      </c>
      <c r="G24" s="478">
        <f t="shared" si="7"/>
        <v>0</v>
      </c>
      <c r="H24" s="478">
        <f t="shared" si="8"/>
        <v>0</v>
      </c>
      <c r="I24" s="478">
        <f t="shared" si="9"/>
        <v>0</v>
      </c>
      <c r="J24" s="478">
        <f t="shared" si="10"/>
        <v>11.957836641984207</v>
      </c>
      <c r="K24" s="478">
        <f t="shared" si="11"/>
        <v>0</v>
      </c>
      <c r="L24" s="478">
        <f t="shared" si="12"/>
        <v>0</v>
      </c>
      <c r="M24" s="478">
        <f t="shared" si="13"/>
        <v>0</v>
      </c>
      <c r="N24" s="478">
        <f t="shared" si="14"/>
        <v>0</v>
      </c>
      <c r="O24" s="478">
        <f t="shared" si="15"/>
        <v>0</v>
      </c>
      <c r="P24" s="479">
        <f t="shared" si="16"/>
        <v>0</v>
      </c>
      <c r="Q24" s="477">
        <f t="shared" ca="1" si="17"/>
        <v>5085.3231244437748</v>
      </c>
    </row>
    <row r="25" spans="1:17">
      <c r="A25" s="477" t="s">
        <v>635</v>
      </c>
      <c r="B25" s="478">
        <f t="shared" ca="1" si="2"/>
        <v>457.66694258411206</v>
      </c>
      <c r="C25" s="478">
        <f t="shared" ca="1" si="3"/>
        <v>0</v>
      </c>
      <c r="D25" s="478">
        <f t="shared" si="4"/>
        <v>194.55972844202563</v>
      </c>
      <c r="E25" s="478">
        <f t="shared" si="5"/>
        <v>53.569206986620365</v>
      </c>
      <c r="F25" s="478">
        <f t="shared" si="6"/>
        <v>192.24742279917103</v>
      </c>
      <c r="G25" s="478">
        <f t="shared" si="7"/>
        <v>0</v>
      </c>
      <c r="H25" s="478">
        <f t="shared" si="8"/>
        <v>0</v>
      </c>
      <c r="I25" s="478">
        <f t="shared" si="9"/>
        <v>0</v>
      </c>
      <c r="J25" s="478">
        <f t="shared" si="10"/>
        <v>1.3716265543290456</v>
      </c>
      <c r="K25" s="478">
        <f t="shared" si="11"/>
        <v>0</v>
      </c>
      <c r="L25" s="478">
        <f t="shared" si="12"/>
        <v>0</v>
      </c>
      <c r="M25" s="478">
        <f t="shared" si="13"/>
        <v>0</v>
      </c>
      <c r="N25" s="478">
        <f t="shared" si="14"/>
        <v>0</v>
      </c>
      <c r="O25" s="478">
        <f t="shared" si="15"/>
        <v>0</v>
      </c>
      <c r="P25" s="479">
        <f t="shared" si="16"/>
        <v>0</v>
      </c>
      <c r="Q25" s="477">
        <f t="shared" ca="1" si="17"/>
        <v>899.41492736625798</v>
      </c>
    </row>
    <row r="26" spans="1:17" s="483" customFormat="1">
      <c r="A26" s="481" t="s">
        <v>561</v>
      </c>
      <c r="B26" s="835">
        <f t="shared" ca="1" si="2"/>
        <v>2.8120553495367138</v>
      </c>
      <c r="C26" s="482">
        <f t="shared" ca="1" si="3"/>
        <v>0</v>
      </c>
      <c r="D26" s="482">
        <f t="shared" si="4"/>
        <v>8.4203235674755703</v>
      </c>
      <c r="E26" s="482">
        <f t="shared" si="5"/>
        <v>12.722351526922417</v>
      </c>
      <c r="F26" s="482">
        <f t="shared" si="6"/>
        <v>0</v>
      </c>
      <c r="G26" s="482">
        <f t="shared" si="7"/>
        <v>6012.3674323792784</v>
      </c>
      <c r="H26" s="482">
        <f t="shared" si="8"/>
        <v>1173.8284822780934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7210.1506451013065</v>
      </c>
    </row>
    <row r="27" spans="1:17">
      <c r="A27" s="477" t="s">
        <v>551</v>
      </c>
      <c r="B27" s="478">
        <f t="shared" ca="1" si="2"/>
        <v>0</v>
      </c>
      <c r="C27" s="478">
        <f t="shared" ca="1" si="3"/>
        <v>0</v>
      </c>
      <c r="D27" s="478">
        <f t="shared" si="4"/>
        <v>0</v>
      </c>
      <c r="E27" s="478">
        <f t="shared" si="5"/>
        <v>0</v>
      </c>
      <c r="F27" s="478">
        <f t="shared" si="6"/>
        <v>0</v>
      </c>
      <c r="G27" s="478">
        <f t="shared" si="7"/>
        <v>270.36679319048517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270.36679319048517</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6111.0523120014896</v>
      </c>
      <c r="C31" s="488">
        <f t="shared" ca="1" si="18"/>
        <v>4760.4100840336141</v>
      </c>
      <c r="D31" s="488">
        <f t="shared" ca="1" si="18"/>
        <v>12889.259880234815</v>
      </c>
      <c r="E31" s="488">
        <f t="shared" si="18"/>
        <v>157.26161546240161</v>
      </c>
      <c r="F31" s="488">
        <f t="shared" ca="1" si="18"/>
        <v>910.26326518659539</v>
      </c>
      <c r="G31" s="488">
        <f t="shared" si="18"/>
        <v>6282.734225569764</v>
      </c>
      <c r="H31" s="488">
        <f t="shared" si="18"/>
        <v>1173.8284822780934</v>
      </c>
      <c r="I31" s="488">
        <f t="shared" si="18"/>
        <v>0</v>
      </c>
      <c r="J31" s="488">
        <f t="shared" si="18"/>
        <v>13.333182368436082</v>
      </c>
      <c r="K31" s="488">
        <f t="shared" si="18"/>
        <v>0</v>
      </c>
      <c r="L31" s="488">
        <f t="shared" ca="1" si="18"/>
        <v>0</v>
      </c>
      <c r="M31" s="488">
        <f t="shared" si="18"/>
        <v>0</v>
      </c>
      <c r="N31" s="488">
        <f t="shared" ca="1" si="18"/>
        <v>0</v>
      </c>
      <c r="O31" s="488">
        <f t="shared" si="18"/>
        <v>0</v>
      </c>
      <c r="P31" s="489">
        <f t="shared" si="18"/>
        <v>0</v>
      </c>
      <c r="Q31" s="489">
        <f t="shared" ca="1" si="18"/>
        <v>32298.143047135207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0.22328079202380516</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0.22328079202380516</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0.22328079202380516</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11007</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4645</v>
      </c>
      <c r="C9" s="342">
        <v>4616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78.569999999999993</v>
      </c>
    </row>
    <row r="15" spans="1:6">
      <c r="A15" s="348" t="s">
        <v>184</v>
      </c>
      <c r="B15" s="334">
        <v>0</v>
      </c>
    </row>
    <row r="16" spans="1:6">
      <c r="A16" s="348" t="s">
        <v>6</v>
      </c>
      <c r="B16" s="334">
        <v>0</v>
      </c>
    </row>
    <row r="17" spans="1:6">
      <c r="A17" s="348" t="s">
        <v>7</v>
      </c>
      <c r="B17" s="334">
        <v>0</v>
      </c>
    </row>
    <row r="18" spans="1:6">
      <c r="A18" s="348" t="s">
        <v>8</v>
      </c>
      <c r="B18" s="334">
        <v>2</v>
      </c>
    </row>
    <row r="19" spans="1:6">
      <c r="A19" s="348" t="s">
        <v>9</v>
      </c>
      <c r="B19" s="334">
        <v>2</v>
      </c>
    </row>
    <row r="20" spans="1:6">
      <c r="A20" s="348" t="s">
        <v>10</v>
      </c>
      <c r="B20" s="334">
        <v>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11</v>
      </c>
    </row>
    <row r="27" spans="1:6">
      <c r="A27" s="348" t="s">
        <v>17</v>
      </c>
      <c r="B27" s="334">
        <v>0</v>
      </c>
    </row>
    <row r="28" spans="1:6" s="356" customFormat="1">
      <c r="A28" s="355" t="s">
        <v>18</v>
      </c>
      <c r="B28" s="355">
        <v>0</v>
      </c>
    </row>
    <row r="29" spans="1:6">
      <c r="A29" s="355" t="s">
        <v>744</v>
      </c>
      <c r="B29" s="355">
        <v>33</v>
      </c>
      <c r="C29" s="356"/>
      <c r="D29" s="356"/>
      <c r="E29" s="356"/>
      <c r="F29" s="356"/>
    </row>
    <row r="30" spans="1:6">
      <c r="A30" s="341" t="s">
        <v>745</v>
      </c>
      <c r="B30" s="341">
        <v>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925.80575651280003</v>
      </c>
      <c r="E38" s="334">
        <v>3</v>
      </c>
      <c r="F38" s="334">
        <v>2535.9162358423</v>
      </c>
    </row>
    <row r="39" spans="1:6">
      <c r="A39" s="348" t="s">
        <v>30</v>
      </c>
      <c r="B39" s="348" t="s">
        <v>31</v>
      </c>
      <c r="C39" s="334">
        <v>4180</v>
      </c>
      <c r="D39" s="334">
        <v>57557204.204575397</v>
      </c>
      <c r="E39" s="334">
        <v>4903</v>
      </c>
      <c r="F39" s="334">
        <v>14206151.5837273</v>
      </c>
    </row>
    <row r="40" spans="1:6">
      <c r="A40" s="348" t="s">
        <v>30</v>
      </c>
      <c r="B40" s="348" t="s">
        <v>29</v>
      </c>
      <c r="C40" s="334">
        <v>0</v>
      </c>
      <c r="D40" s="334">
        <v>0</v>
      </c>
      <c r="E40" s="334">
        <v>0</v>
      </c>
      <c r="F40" s="334">
        <v>0</v>
      </c>
    </row>
    <row r="41" spans="1:6">
      <c r="A41" s="348" t="s">
        <v>32</v>
      </c>
      <c r="B41" s="348" t="s">
        <v>33</v>
      </c>
      <c r="C41" s="334">
        <v>15</v>
      </c>
      <c r="D41" s="334">
        <v>258400.89359782901</v>
      </c>
      <c r="E41" s="334">
        <v>52</v>
      </c>
      <c r="F41" s="334">
        <v>600199.58872115205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809411.71447897295</v>
      </c>
      <c r="E48" s="334">
        <v>19</v>
      </c>
      <c r="F48" s="334">
        <v>1082310.5766006799</v>
      </c>
    </row>
    <row r="49" spans="1:6">
      <c r="A49" s="348" t="s">
        <v>32</v>
      </c>
      <c r="B49" s="348" t="s">
        <v>40</v>
      </c>
      <c r="C49" s="334">
        <v>0</v>
      </c>
      <c r="D49" s="334">
        <v>0</v>
      </c>
      <c r="E49" s="334">
        <v>0</v>
      </c>
      <c r="F49" s="334">
        <v>0</v>
      </c>
    </row>
    <row r="50" spans="1:6">
      <c r="A50" s="348" t="s">
        <v>32</v>
      </c>
      <c r="B50" s="348" t="s">
        <v>41</v>
      </c>
      <c r="C50" s="334">
        <v>0</v>
      </c>
      <c r="D50" s="334">
        <v>0</v>
      </c>
      <c r="E50" s="334">
        <v>4</v>
      </c>
      <c r="F50" s="334">
        <v>367227.02181300102</v>
      </c>
    </row>
    <row r="51" spans="1:6">
      <c r="A51" s="348" t="s">
        <v>42</v>
      </c>
      <c r="B51" s="348" t="s">
        <v>43</v>
      </c>
      <c r="C51" s="334">
        <v>0</v>
      </c>
      <c r="D51" s="334">
        <v>0</v>
      </c>
      <c r="E51" s="334">
        <v>10</v>
      </c>
      <c r="F51" s="334">
        <v>230786.496180719</v>
      </c>
    </row>
    <row r="52" spans="1:6">
      <c r="A52" s="348" t="s">
        <v>42</v>
      </c>
      <c r="B52" s="348" t="s">
        <v>29</v>
      </c>
      <c r="C52" s="334">
        <v>4</v>
      </c>
      <c r="D52" s="334">
        <v>36841873.571073301</v>
      </c>
      <c r="E52" s="334">
        <v>3</v>
      </c>
      <c r="F52" s="334">
        <v>2368.8290197760002</v>
      </c>
    </row>
    <row r="53" spans="1:6">
      <c r="A53" s="348" t="s">
        <v>44</v>
      </c>
      <c r="B53" s="348" t="s">
        <v>45</v>
      </c>
      <c r="C53" s="334">
        <v>87</v>
      </c>
      <c r="D53" s="334">
        <v>1187399.3943139301</v>
      </c>
      <c r="E53" s="334">
        <v>320</v>
      </c>
      <c r="F53" s="334">
        <v>364483.03870357998</v>
      </c>
    </row>
    <row r="54" spans="1:6">
      <c r="A54" s="348" t="s">
        <v>46</v>
      </c>
      <c r="B54" s="348" t="s">
        <v>47</v>
      </c>
      <c r="C54" s="334">
        <v>0</v>
      </c>
      <c r="D54" s="334">
        <v>0</v>
      </c>
      <c r="E54" s="334">
        <v>1</v>
      </c>
      <c r="F54" s="334">
        <v>475153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376304.309403477</v>
      </c>
      <c r="E57" s="334">
        <v>32</v>
      </c>
      <c r="F57" s="334">
        <v>342133.888865549</v>
      </c>
    </row>
    <row r="58" spans="1:6">
      <c r="A58" s="348" t="s">
        <v>49</v>
      </c>
      <c r="B58" s="348" t="s">
        <v>51</v>
      </c>
      <c r="C58" s="334">
        <v>15</v>
      </c>
      <c r="D58" s="334">
        <v>1712903.7524601</v>
      </c>
      <c r="E58" s="334">
        <v>20</v>
      </c>
      <c r="F58" s="334">
        <v>507795.59883101302</v>
      </c>
    </row>
    <row r="59" spans="1:6">
      <c r="A59" s="348" t="s">
        <v>49</v>
      </c>
      <c r="B59" s="348" t="s">
        <v>52</v>
      </c>
      <c r="C59" s="334">
        <v>44</v>
      </c>
      <c r="D59" s="334">
        <v>1589177.5934769199</v>
      </c>
      <c r="E59" s="334">
        <v>81</v>
      </c>
      <c r="F59" s="334">
        <v>5146356.3987660697</v>
      </c>
    </row>
    <row r="60" spans="1:6">
      <c r="A60" s="348" t="s">
        <v>49</v>
      </c>
      <c r="B60" s="348" t="s">
        <v>53</v>
      </c>
      <c r="C60" s="334">
        <v>25</v>
      </c>
      <c r="D60" s="334">
        <v>1653434.87635115</v>
      </c>
      <c r="E60" s="334">
        <v>28</v>
      </c>
      <c r="F60" s="334">
        <v>715229.25879375101</v>
      </c>
    </row>
    <row r="61" spans="1:6">
      <c r="A61" s="348" t="s">
        <v>49</v>
      </c>
      <c r="B61" s="348" t="s">
        <v>54</v>
      </c>
      <c r="C61" s="334">
        <v>68</v>
      </c>
      <c r="D61" s="334">
        <v>2751417.1148734</v>
      </c>
      <c r="E61" s="334">
        <v>195</v>
      </c>
      <c r="F61" s="334">
        <v>1417918.8102949499</v>
      </c>
    </row>
    <row r="62" spans="1:6">
      <c r="A62" s="348" t="s">
        <v>49</v>
      </c>
      <c r="B62" s="348" t="s">
        <v>55</v>
      </c>
      <c r="C62" s="334">
        <v>3</v>
      </c>
      <c r="D62" s="334">
        <v>484999.09265509603</v>
      </c>
      <c r="E62" s="334">
        <v>5</v>
      </c>
      <c r="F62" s="334">
        <v>217550.598492294</v>
      </c>
    </row>
    <row r="63" spans="1:6">
      <c r="A63" s="348" t="s">
        <v>49</v>
      </c>
      <c r="B63" s="348" t="s">
        <v>29</v>
      </c>
      <c r="C63" s="334">
        <v>85</v>
      </c>
      <c r="D63" s="334">
        <v>3501350.06093165</v>
      </c>
      <c r="E63" s="334">
        <v>86</v>
      </c>
      <c r="F63" s="334">
        <v>1271822.5250339301</v>
      </c>
    </row>
    <row r="64" spans="1:6">
      <c r="A64" s="348" t="s">
        <v>56</v>
      </c>
      <c r="B64" s="348" t="s">
        <v>57</v>
      </c>
      <c r="C64" s="334">
        <v>0</v>
      </c>
      <c r="D64" s="334">
        <v>0</v>
      </c>
      <c r="E64" s="334">
        <v>0</v>
      </c>
      <c r="F64" s="334">
        <v>0</v>
      </c>
    </row>
    <row r="65" spans="1:6">
      <c r="A65" s="348" t="s">
        <v>56</v>
      </c>
      <c r="B65" s="348" t="s">
        <v>29</v>
      </c>
      <c r="C65" s="334">
        <v>2</v>
      </c>
      <c r="D65" s="334">
        <v>62659.868822242301</v>
      </c>
      <c r="E65" s="334">
        <v>4</v>
      </c>
      <c r="F65" s="334">
        <v>18020.856434831599</v>
      </c>
    </row>
    <row r="66" spans="1:6">
      <c r="A66" s="348" t="s">
        <v>56</v>
      </c>
      <c r="B66" s="348" t="s">
        <v>58</v>
      </c>
      <c r="C66" s="334">
        <v>0</v>
      </c>
      <c r="D66" s="334">
        <v>0</v>
      </c>
      <c r="E66" s="334">
        <v>4</v>
      </c>
      <c r="F66" s="334">
        <v>532469.35451113095</v>
      </c>
    </row>
    <row r="67" spans="1:6">
      <c r="A67" s="355" t="s">
        <v>56</v>
      </c>
      <c r="B67" s="355" t="s">
        <v>59</v>
      </c>
      <c r="C67" s="334">
        <v>0</v>
      </c>
      <c r="D67" s="334">
        <v>0</v>
      </c>
      <c r="E67" s="334">
        <v>0</v>
      </c>
      <c r="F67" s="334">
        <v>0</v>
      </c>
    </row>
    <row r="68" spans="1:6">
      <c r="A68" s="341" t="s">
        <v>56</v>
      </c>
      <c r="B68" s="341" t="s">
        <v>60</v>
      </c>
      <c r="C68" s="334">
        <v>0</v>
      </c>
      <c r="D68" s="334">
        <v>0</v>
      </c>
      <c r="E68" s="334">
        <v>3</v>
      </c>
      <c r="F68" s="334">
        <v>10552.397700679599</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27755365</v>
      </c>
      <c r="E73" s="476">
        <v>25918836.85574507</v>
      </c>
    </row>
    <row r="74" spans="1:6">
      <c r="A74" s="348" t="s">
        <v>64</v>
      </c>
      <c r="B74" s="348" t="s">
        <v>657</v>
      </c>
      <c r="C74" s="1213" t="s">
        <v>659</v>
      </c>
      <c r="D74" s="476">
        <v>3138145.5858213655</v>
      </c>
      <c r="E74" s="476">
        <v>2991516.11967126</v>
      </c>
    </row>
    <row r="75" spans="1:6">
      <c r="A75" s="348" t="s">
        <v>65</v>
      </c>
      <c r="B75" s="348" t="s">
        <v>656</v>
      </c>
      <c r="C75" s="1213" t="s">
        <v>660</v>
      </c>
      <c r="D75" s="476">
        <v>4258233</v>
      </c>
      <c r="E75" s="476">
        <v>4202073.9027213203</v>
      </c>
    </row>
    <row r="76" spans="1:6">
      <c r="A76" s="348" t="s">
        <v>65</v>
      </c>
      <c r="B76" s="348" t="s">
        <v>657</v>
      </c>
      <c r="C76" s="1213" t="s">
        <v>661</v>
      </c>
      <c r="D76" s="476">
        <v>13853.1</v>
      </c>
      <c r="E76" s="476">
        <v>13261.679615604146</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290234.82835726871</v>
      </c>
      <c r="C83" s="476">
        <v>291512.22076012811</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773.76127381397714</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3365</v>
      </c>
    </row>
    <row r="98" spans="1:6">
      <c r="A98" s="348" t="s">
        <v>72</v>
      </c>
      <c r="B98" s="334">
        <v>3</v>
      </c>
    </row>
    <row r="99" spans="1:6">
      <c r="A99" s="348" t="s">
        <v>73</v>
      </c>
      <c r="B99" s="334">
        <v>5</v>
      </c>
    </row>
    <row r="100" spans="1:6">
      <c r="A100" s="348" t="s">
        <v>74</v>
      </c>
      <c r="B100" s="334">
        <v>256</v>
      </c>
    </row>
    <row r="101" spans="1:6">
      <c r="A101" s="348" t="s">
        <v>75</v>
      </c>
      <c r="B101" s="334">
        <v>14</v>
      </c>
    </row>
    <row r="102" spans="1:6">
      <c r="A102" s="348" t="s">
        <v>76</v>
      </c>
      <c r="B102" s="334">
        <v>57</v>
      </c>
    </row>
    <row r="103" spans="1:6">
      <c r="A103" s="348" t="s">
        <v>77</v>
      </c>
      <c r="B103" s="334">
        <v>40</v>
      </c>
    </row>
    <row r="104" spans="1:6">
      <c r="A104" s="348" t="s">
        <v>78</v>
      </c>
      <c r="B104" s="334">
        <v>517</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26</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27369.359704483482</v>
      </c>
      <c r="C3" s="43" t="s">
        <v>170</v>
      </c>
      <c r="D3" s="43"/>
      <c r="E3" s="154"/>
      <c r="F3" s="43"/>
      <c r="G3" s="43"/>
      <c r="H3" s="43"/>
      <c r="I3" s="43"/>
      <c r="J3" s="43"/>
      <c r="K3" s="96"/>
    </row>
    <row r="4" spans="1:11">
      <c r="A4" s="383" t="s">
        <v>171</v>
      </c>
      <c r="B4" s="49">
        <f>IF(ISERROR('SEAP template'!B69),0,'SEAP template'!B69)</f>
        <v>14795.761273813978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3332.2870588235296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0.22328079202380516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4760.4100840336141</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20031.428571428572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475.15300000000002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475.15300000000002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0.22328079202380516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106.0925381724871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14206.1515837273</v>
      </c>
      <c r="C5" s="17">
        <f>IF(ISERROR('Eigen informatie GS &amp; warmtenet'!B57),0,'Eigen informatie GS &amp; warmtenet'!B57)</f>
        <v>0</v>
      </c>
      <c r="D5" s="30">
        <f>(SUM(HH_hh_gas_kWh,HH_rest_gas_kWh)/1000)*0.902</f>
        <v>51916.59819252701</v>
      </c>
      <c r="E5" s="17">
        <f>B46*B57</f>
        <v>177.47187734476759</v>
      </c>
      <c r="F5" s="17">
        <f>B51*B62</f>
        <v>0</v>
      </c>
      <c r="G5" s="18"/>
      <c r="H5" s="17"/>
      <c r="I5" s="17"/>
      <c r="J5" s="17">
        <f>B50*B61+C50*C61</f>
        <v>0</v>
      </c>
      <c r="K5" s="17"/>
      <c r="L5" s="17"/>
      <c r="M5" s="17"/>
      <c r="N5" s="17">
        <f>B48*B59+C48*C59</f>
        <v>1693.4806662003134</v>
      </c>
      <c r="O5" s="17">
        <f>B69*B70*B71</f>
        <v>54.716666666666669</v>
      </c>
      <c r="P5" s="17">
        <f>B77*B78*B79/1000-B77*B78*B79/1000/B80</f>
        <v>76.266666666666666</v>
      </c>
    </row>
    <row r="6" spans="1:16">
      <c r="A6" s="16" t="s">
        <v>621</v>
      </c>
      <c r="B6" s="843">
        <f>kWh_PV_kleiner_dan_10kW</f>
        <v>773.76127381397714</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14979.912857541278</v>
      </c>
      <c r="C8" s="21">
        <f>C5</f>
        <v>0</v>
      </c>
      <c r="D8" s="21">
        <f>D5</f>
        <v>51916.59819252701</v>
      </c>
      <c r="E8" s="21">
        <f>E5</f>
        <v>177.47187734476759</v>
      </c>
      <c r="F8" s="21">
        <f>F5</f>
        <v>0</v>
      </c>
      <c r="G8" s="21"/>
      <c r="H8" s="21"/>
      <c r="I8" s="21"/>
      <c r="J8" s="21">
        <f>J5</f>
        <v>0</v>
      </c>
      <c r="K8" s="21"/>
      <c r="L8" s="21">
        <f>L5</f>
        <v>0</v>
      </c>
      <c r="M8" s="21">
        <f>M5</f>
        <v>0</v>
      </c>
      <c r="N8" s="21">
        <f>N5</f>
        <v>1693.4806662003134</v>
      </c>
      <c r="O8" s="21">
        <f>O5</f>
        <v>54.716666666666669</v>
      </c>
      <c r="P8" s="21">
        <f>P5</f>
        <v>76.266666666666666</v>
      </c>
    </row>
    <row r="9" spans="1:16">
      <c r="B9" s="19"/>
      <c r="C9" s="19"/>
      <c r="D9" s="258"/>
      <c r="E9" s="19"/>
      <c r="F9" s="19"/>
      <c r="G9" s="19"/>
      <c r="H9" s="19"/>
      <c r="I9" s="19"/>
      <c r="J9" s="19"/>
      <c r="K9" s="19"/>
      <c r="L9" s="19"/>
      <c r="M9" s="19"/>
      <c r="N9" s="19"/>
      <c r="O9" s="19"/>
      <c r="P9" s="19"/>
    </row>
    <row r="10" spans="1:16">
      <c r="A10" s="24" t="s">
        <v>214</v>
      </c>
      <c r="B10" s="25">
        <f ca="1">'EF ele_warmte'!B12</f>
        <v>0.22328079202380516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3344.7268072793991</v>
      </c>
      <c r="C12" s="23">
        <f ca="1">C10*C8</f>
        <v>0</v>
      </c>
      <c r="D12" s="23">
        <f>D8*D10</f>
        <v>10487.152834890456</v>
      </c>
      <c r="E12" s="23">
        <f>E10*E8</f>
        <v>40.286116157262242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3365</v>
      </c>
      <c r="C18" s="166" t="s">
        <v>111</v>
      </c>
      <c r="D18" s="228"/>
      <c r="E18" s="15"/>
    </row>
    <row r="19" spans="1:7">
      <c r="A19" s="171" t="s">
        <v>72</v>
      </c>
      <c r="B19" s="37">
        <f>aantalw2001_ander</f>
        <v>3</v>
      </c>
      <c r="C19" s="166" t="s">
        <v>111</v>
      </c>
      <c r="D19" s="229"/>
      <c r="E19" s="15"/>
    </row>
    <row r="20" spans="1:7">
      <c r="A20" s="171" t="s">
        <v>73</v>
      </c>
      <c r="B20" s="37">
        <f>aantalw2001_propaan</f>
        <v>5</v>
      </c>
      <c r="C20" s="167">
        <f>IF(ISERROR(B20/SUM($B$20,$B$21,$B$22)*100),0,B20/SUM($B$20,$B$21,$B$22)*100)</f>
        <v>1.8181818181818181</v>
      </c>
      <c r="D20" s="229"/>
      <c r="E20" s="15"/>
    </row>
    <row r="21" spans="1:7">
      <c r="A21" s="171" t="s">
        <v>74</v>
      </c>
      <c r="B21" s="37">
        <f>aantalw2001_elektriciteit</f>
        <v>256</v>
      </c>
      <c r="C21" s="167">
        <f>IF(ISERROR(B21/SUM($B$20,$B$21,$B$22)*100),0,B21/SUM($B$20,$B$21,$B$22)*100)</f>
        <v>93.090909090909093</v>
      </c>
      <c r="D21" s="229"/>
      <c r="E21" s="15"/>
    </row>
    <row r="22" spans="1:7">
      <c r="A22" s="171" t="s">
        <v>75</v>
      </c>
      <c r="B22" s="37">
        <f>aantalw2001_hout</f>
        <v>14</v>
      </c>
      <c r="C22" s="167">
        <f>IF(ISERROR(B22/SUM($B$20,$B$21,$B$22)*100),0,B22/SUM($B$20,$B$21,$B$22)*100)</f>
        <v>5.0909090909090908</v>
      </c>
      <c r="D22" s="229"/>
      <c r="E22" s="15"/>
    </row>
    <row r="23" spans="1:7">
      <c r="A23" s="171" t="s">
        <v>76</v>
      </c>
      <c r="B23" s="37">
        <f>aantalw2001_niet_gespec</f>
        <v>57</v>
      </c>
      <c r="C23" s="166" t="s">
        <v>111</v>
      </c>
      <c r="D23" s="228"/>
      <c r="E23" s="15"/>
    </row>
    <row r="24" spans="1:7">
      <c r="A24" s="171" t="s">
        <v>77</v>
      </c>
      <c r="B24" s="37">
        <f>aantalw2001_steenkool</f>
        <v>40</v>
      </c>
      <c r="C24" s="166" t="s">
        <v>111</v>
      </c>
      <c r="D24" s="229"/>
      <c r="E24" s="15"/>
    </row>
    <row r="25" spans="1:7">
      <c r="A25" s="171" t="s">
        <v>78</v>
      </c>
      <c r="B25" s="37">
        <f>aantalw2001_stookolie</f>
        <v>517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4645</v>
      </c>
      <c r="C28" s="36"/>
      <c r="D28" s="228"/>
    </row>
    <row r="29" spans="1:7" s="15" customFormat="1">
      <c r="A29" s="230" t="s">
        <v>795</v>
      </c>
      <c r="B29" s="37">
        <f>SUM(HH_hh_gas_aantal,HH_rest_gas_aantal)</f>
        <v>4180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4180</v>
      </c>
      <c r="C32" s="167">
        <f>IF(ISERROR(B32/SUM($B$32,$B$34,$B$35,$B$36,$B$38,$B$39)*100),0,B32/SUM($B$32,$B$34,$B$35,$B$36,$B$38,$B$39)*100)</f>
        <v>90.066795949148897</v>
      </c>
      <c r="D32" s="233"/>
      <c r="G32" s="15"/>
    </row>
    <row r="33" spans="1:7">
      <c r="A33" s="171" t="s">
        <v>72</v>
      </c>
      <c r="B33" s="34" t="s">
        <v>111</v>
      </c>
      <c r="C33" s="167"/>
      <c r="D33" s="233"/>
      <c r="G33" s="15"/>
    </row>
    <row r="34" spans="1:7">
      <c r="A34" s="171" t="s">
        <v>73</v>
      </c>
      <c r="B34" s="33">
        <f>IF((($B$28-$B$32-$B$39-$B$77-$B$38)*C20/100)&lt;0,0,($B$28-$B$32-$B$39-$B$77-$B$38)*C20/100)</f>
        <v>8.3818181818181809</v>
      </c>
      <c r="C34" s="167">
        <f>IF(ISERROR(B34/SUM($B$32,$B$34,$B$35,$B$36,$B$38,$B$39)*100),0,B34/SUM($B$32,$B$34,$B$35,$B$36,$B$38,$B$39)*100)</f>
        <v>0.18060371001547476</v>
      </c>
      <c r="D34" s="233"/>
      <c r="G34" s="15"/>
    </row>
    <row r="35" spans="1:7">
      <c r="A35" s="171" t="s">
        <v>74</v>
      </c>
      <c r="B35" s="33">
        <f>IF((($B$28-$B$32-$B$39-$B$77-$B$38)*C21/100)&lt;0,0,($B$28-$B$32-$B$39-$B$77-$B$38)*C21/100)</f>
        <v>429.14909090909094</v>
      </c>
      <c r="C35" s="167">
        <f>IF(ISERROR(B35/SUM($B$32,$B$34,$B$35,$B$36,$B$38,$B$39)*100),0,B35/SUM($B$32,$B$34,$B$35,$B$36,$B$38,$B$39)*100)</f>
        <v>9.2469099527923078</v>
      </c>
      <c r="D35" s="233"/>
      <c r="G35" s="15"/>
    </row>
    <row r="36" spans="1:7">
      <c r="A36" s="171" t="s">
        <v>75</v>
      </c>
      <c r="B36" s="33">
        <f>IF((($B$28-$B$32-$B$39-$B$77-$B$38)*C22/100)&lt;0,0,($B$28-$B$32-$B$39-$B$77-$B$38)*C22/100)</f>
        <v>23.469090909090909</v>
      </c>
      <c r="C36" s="167">
        <f>IF(ISERROR(B36/SUM($B$32,$B$34,$B$35,$B$36,$B$38,$B$39)*100),0,B36/SUM($B$32,$B$34,$B$35,$B$36,$B$38,$B$39)*100)</f>
        <v>0.50569038804332933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4180</v>
      </c>
      <c r="C44" s="34" t="s">
        <v>111</v>
      </c>
      <c r="D44" s="174"/>
    </row>
    <row r="45" spans="1:7">
      <c r="A45" s="171" t="s">
        <v>72</v>
      </c>
      <c r="B45" s="33" t="str">
        <f t="shared" si="0"/>
        <v>-</v>
      </c>
      <c r="C45" s="34" t="s">
        <v>111</v>
      </c>
      <c r="D45" s="174"/>
    </row>
    <row r="46" spans="1:7">
      <c r="A46" s="171" t="s">
        <v>73</v>
      </c>
      <c r="B46" s="33">
        <f t="shared" si="0"/>
        <v>8.3818181818181809</v>
      </c>
      <c r="C46" s="34" t="s">
        <v>111</v>
      </c>
      <c r="D46" s="174"/>
    </row>
    <row r="47" spans="1:7">
      <c r="A47" s="171" t="s">
        <v>74</v>
      </c>
      <c r="B47" s="33">
        <f t="shared" si="0"/>
        <v>429.14909090909094</v>
      </c>
      <c r="C47" s="34" t="s">
        <v>111</v>
      </c>
      <c r="D47" s="174"/>
    </row>
    <row r="48" spans="1:7">
      <c r="A48" s="171" t="s">
        <v>75</v>
      </c>
      <c r="B48" s="33">
        <f t="shared" si="0"/>
        <v>23.469090909090909</v>
      </c>
      <c r="C48" s="33">
        <f>B48*10</f>
        <v>234.69090909090909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9618.8070790775564</v>
      </c>
      <c r="C5" s="17">
        <f>IF(ISERROR('Eigen informatie GS &amp; warmtenet'!B58),0,'Eigen informatie GS &amp; warmtenet'!B58)</f>
        <v>0</v>
      </c>
      <c r="D5" s="30">
        <f>SUM(D6:D12)</f>
        <v>10886.767293736917</v>
      </c>
      <c r="E5" s="17">
        <f>SUM(E6:E12)</f>
        <v>216.42412506347475</v>
      </c>
      <c r="F5" s="17">
        <f>SUM(F6:F12)</f>
        <v>1717.8854258306035</v>
      </c>
      <c r="G5" s="18"/>
      <c r="H5" s="17"/>
      <c r="I5" s="17"/>
      <c r="J5" s="17">
        <f>SUM(J6:J12)</f>
        <v>1.0506135940199762E-2</v>
      </c>
      <c r="K5" s="17"/>
      <c r="L5" s="17"/>
      <c r="M5" s="17"/>
      <c r="N5" s="17">
        <f>SUM(N6:N12)</f>
        <v>430.84049889789605</v>
      </c>
      <c r="O5" s="17">
        <f>B38*B39*B40</f>
        <v>0</v>
      </c>
      <c r="P5" s="17">
        <f>B46*B47*B48/1000-B46*B47*B48/1000/B49</f>
        <v>0</v>
      </c>
      <c r="R5" s="32"/>
    </row>
    <row r="6" spans="1:18">
      <c r="A6" s="32" t="s">
        <v>54</v>
      </c>
      <c r="B6" s="37">
        <f>B26</f>
        <v>1417.9188102949499</v>
      </c>
      <c r="C6" s="33"/>
      <c r="D6" s="37">
        <f>IF(ISERROR(TER_kantoor_gas_kWh/1000),0,TER_kantoor_gas_kWh/1000)*0.902</f>
        <v>2481.7782376158066</v>
      </c>
      <c r="E6" s="33">
        <f>$C$26*'E Balans VL '!I12/100/3.6*1000000</f>
        <v>8.8870435105206022E-3</v>
      </c>
      <c r="F6" s="33">
        <f>$C$26*('E Balans VL '!L12+'E Balans VL '!N12)/100/3.6*1000000</f>
        <v>213.07357675702181</v>
      </c>
      <c r="G6" s="34"/>
      <c r="H6" s="33"/>
      <c r="I6" s="33"/>
      <c r="J6" s="33">
        <f>$C$26*('E Balans VL '!D12+'E Balans VL '!E12)/100/3.6*1000000</f>
        <v>0</v>
      </c>
      <c r="K6" s="33"/>
      <c r="L6" s="33"/>
      <c r="M6" s="33"/>
      <c r="N6" s="33">
        <f>$C$26*'E Balans VL '!Y12/100/3.6*1000000</f>
        <v>1.3560291125120285</v>
      </c>
      <c r="O6" s="33"/>
      <c r="P6" s="33"/>
      <c r="R6" s="32"/>
    </row>
    <row r="7" spans="1:18">
      <c r="A7" s="32" t="s">
        <v>53</v>
      </c>
      <c r="B7" s="37">
        <f t="shared" ref="B7:B12" si="0">B27</f>
        <v>715.229258793751</v>
      </c>
      <c r="C7" s="33"/>
      <c r="D7" s="37">
        <f>IF(ISERROR(TER_horeca_gas_kWh/1000),0,TER_horeca_gas_kWh/1000)*0.902</f>
        <v>1491.3982584687374</v>
      </c>
      <c r="E7" s="33">
        <f>$C$27*'E Balans VL '!I9/100/3.6*1000000</f>
        <v>10.241963851474541</v>
      </c>
      <c r="F7" s="33">
        <f>$C$27*('E Balans VL '!L9+'E Balans VL '!N9)/100/3.6*1000000</f>
        <v>90.571613333037064</v>
      </c>
      <c r="G7" s="34"/>
      <c r="H7" s="33"/>
      <c r="I7" s="33"/>
      <c r="J7" s="33">
        <f>$C$27*('E Balans VL '!D9+'E Balans VL '!E9)/100/3.6*1000000</f>
        <v>0</v>
      </c>
      <c r="K7" s="33"/>
      <c r="L7" s="33"/>
      <c r="M7" s="33"/>
      <c r="N7" s="33">
        <f>$C$27*'E Balans VL '!Y9/100/3.6*1000000</f>
        <v>0.20561264245169147</v>
      </c>
      <c r="O7" s="33"/>
      <c r="P7" s="33"/>
      <c r="R7" s="32"/>
    </row>
    <row r="8" spans="1:18">
      <c r="A8" s="6" t="s">
        <v>52</v>
      </c>
      <c r="B8" s="37">
        <f t="shared" si="0"/>
        <v>5146.35639876607</v>
      </c>
      <c r="C8" s="33"/>
      <c r="D8" s="37">
        <f>IF(ISERROR(TER_handel_gas_kWh/1000),0,TER_handel_gas_kWh/1000)*0.902</f>
        <v>1433.4381893161817</v>
      </c>
      <c r="E8" s="33">
        <f>$C$28*'E Balans VL '!I13/100/3.6*1000000</f>
        <v>186.65771196300625</v>
      </c>
      <c r="F8" s="33">
        <f>$C$28*('E Balans VL '!L13+'E Balans VL '!N13)/100/3.6*1000000</f>
        <v>991.24035257394405</v>
      </c>
      <c r="G8" s="34"/>
      <c r="H8" s="33"/>
      <c r="I8" s="33"/>
      <c r="J8" s="33">
        <f>$C$28*('E Balans VL '!D13+'E Balans VL '!E13)/100/3.6*1000000</f>
        <v>0</v>
      </c>
      <c r="K8" s="33"/>
      <c r="L8" s="33"/>
      <c r="M8" s="33"/>
      <c r="N8" s="33">
        <f>$C$28*'E Balans VL '!Y13/100/3.6*1000000</f>
        <v>7.128887736088025</v>
      </c>
      <c r="O8" s="33"/>
      <c r="P8" s="33"/>
      <c r="R8" s="32"/>
    </row>
    <row r="9" spans="1:18">
      <c r="A9" s="32" t="s">
        <v>51</v>
      </c>
      <c r="B9" s="37">
        <f t="shared" si="0"/>
        <v>507.79559883101302</v>
      </c>
      <c r="C9" s="33"/>
      <c r="D9" s="37">
        <f>IF(ISERROR(TER_gezond_gas_kWh/1000),0,TER_gezond_gas_kWh/1000)*0.902</f>
        <v>1545.0391847190101</v>
      </c>
      <c r="E9" s="33">
        <f>$C$29*'E Balans VL '!I10/100/3.6*1000000</f>
        <v>3.1793018062605038E-2</v>
      </c>
      <c r="F9" s="33">
        <f>$C$29*('E Balans VL '!L10+'E Balans VL '!N10)/100/3.6*1000000</f>
        <v>75.434582296703567</v>
      </c>
      <c r="G9" s="34"/>
      <c r="H9" s="33"/>
      <c r="I9" s="33"/>
      <c r="J9" s="33">
        <f>$C$29*('E Balans VL '!D10+'E Balans VL '!E10)/100/3.6*1000000</f>
        <v>0</v>
      </c>
      <c r="K9" s="33"/>
      <c r="L9" s="33"/>
      <c r="M9" s="33"/>
      <c r="N9" s="33">
        <f>$C$29*'E Balans VL '!Y10/100/3.6*1000000</f>
        <v>7.8546313208050318</v>
      </c>
      <c r="O9" s="33"/>
      <c r="P9" s="33"/>
      <c r="R9" s="32"/>
    </row>
    <row r="10" spans="1:18">
      <c r="A10" s="32" t="s">
        <v>50</v>
      </c>
      <c r="B10" s="37">
        <f t="shared" si="0"/>
        <v>342.13388886554901</v>
      </c>
      <c r="C10" s="33"/>
      <c r="D10" s="37">
        <f>IF(ISERROR(TER_ander_gas_kWh/1000),0,TER_ander_gas_kWh/1000)*0.902</f>
        <v>339.42648708193627</v>
      </c>
      <c r="E10" s="33">
        <f>$C$30*'E Balans VL '!I14/100/3.6*1000000</f>
        <v>0.40781136972834348</v>
      </c>
      <c r="F10" s="33">
        <f>$C$30*('E Balans VL '!L14+'E Balans VL '!N14)/100/3.6*1000000</f>
        <v>89.517435405279258</v>
      </c>
      <c r="G10" s="34"/>
      <c r="H10" s="33"/>
      <c r="I10" s="33"/>
      <c r="J10" s="33">
        <f>$C$30*('E Balans VL '!D14+'E Balans VL '!E14)/100/3.6*1000000</f>
        <v>7.4263855994578833E-3</v>
      </c>
      <c r="K10" s="33"/>
      <c r="L10" s="33"/>
      <c r="M10" s="33"/>
      <c r="N10" s="33">
        <f>$C$30*'E Balans VL '!Y14/100/3.6*1000000</f>
        <v>290.53172652620657</v>
      </c>
      <c r="O10" s="33"/>
      <c r="P10" s="33"/>
      <c r="R10" s="32"/>
    </row>
    <row r="11" spans="1:18">
      <c r="A11" s="32" t="s">
        <v>55</v>
      </c>
      <c r="B11" s="37">
        <f t="shared" si="0"/>
        <v>217.550598492294</v>
      </c>
      <c r="C11" s="33"/>
      <c r="D11" s="37">
        <f>IF(ISERROR(TER_onderwijs_gas_kWh/1000),0,TER_onderwijs_gas_kWh/1000)*0.902</f>
        <v>437.46918157489665</v>
      </c>
      <c r="E11" s="33">
        <f>$C$31*'E Balans VL '!I11/100/3.6*1000000</f>
        <v>3.2824881326905531</v>
      </c>
      <c r="F11" s="33">
        <f>$C$31*('E Balans VL '!L11+'E Balans VL '!N11)/100/3.6*1000000</f>
        <v>38.11834033005502</v>
      </c>
      <c r="G11" s="34"/>
      <c r="H11" s="33"/>
      <c r="I11" s="33"/>
      <c r="J11" s="33">
        <f>$C$31*('E Balans VL '!D11+'E Balans VL '!E11)/100/3.6*1000000</f>
        <v>0</v>
      </c>
      <c r="K11" s="33"/>
      <c r="L11" s="33"/>
      <c r="M11" s="33"/>
      <c r="N11" s="33">
        <f>$C$31*'E Balans VL '!Y11/100/3.6*1000000</f>
        <v>0.61220392298364223</v>
      </c>
      <c r="O11" s="33"/>
      <c r="P11" s="33"/>
      <c r="R11" s="32"/>
    </row>
    <row r="12" spans="1:18">
      <c r="A12" s="32" t="s">
        <v>260</v>
      </c>
      <c r="B12" s="37">
        <f t="shared" si="0"/>
        <v>1271.8225250339301</v>
      </c>
      <c r="C12" s="33"/>
      <c r="D12" s="37">
        <f>IF(ISERROR(TER_rest_gas_kWh/1000),0,TER_rest_gas_kWh/1000)*0.902</f>
        <v>3158.2177549603484</v>
      </c>
      <c r="E12" s="33">
        <f>$C$32*'E Balans VL '!I8/100/3.6*1000000</f>
        <v>15.793469685001936</v>
      </c>
      <c r="F12" s="33">
        <f>$C$32*('E Balans VL '!L8+'E Balans VL '!N8)/100/3.6*1000000</f>
        <v>219.92952513456268</v>
      </c>
      <c r="G12" s="34"/>
      <c r="H12" s="33"/>
      <c r="I12" s="33"/>
      <c r="J12" s="33">
        <f>$C$32*('E Balans VL '!D8+'E Balans VL '!E8)/100/3.6*1000000</f>
        <v>3.0797503407418774E-3</v>
      </c>
      <c r="K12" s="33"/>
      <c r="L12" s="33"/>
      <c r="M12" s="33"/>
      <c r="N12" s="33">
        <f>$C$32*'E Balans VL '!Y8/100/3.6*1000000</f>
        <v>123.15140763684906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9618.8070790775564</v>
      </c>
      <c r="C16" s="21">
        <f t="shared" ca="1" si="1"/>
        <v>0</v>
      </c>
      <c r="D16" s="21">
        <f t="shared" ca="1" si="1"/>
        <v>10886.767293736917</v>
      </c>
      <c r="E16" s="21">
        <f t="shared" si="1"/>
        <v>216.42412506347475</v>
      </c>
      <c r="F16" s="21">
        <f t="shared" ca="1" si="1"/>
        <v>1717.8854258306035</v>
      </c>
      <c r="G16" s="21">
        <f t="shared" si="1"/>
        <v>0</v>
      </c>
      <c r="H16" s="21">
        <f t="shared" si="1"/>
        <v>0</v>
      </c>
      <c r="I16" s="21">
        <f t="shared" si="1"/>
        <v>0</v>
      </c>
      <c r="J16" s="21">
        <f t="shared" si="1"/>
        <v>1.0506135940199762E-2</v>
      </c>
      <c r="K16" s="21">
        <f t="shared" si="1"/>
        <v>0</v>
      </c>
      <c r="L16" s="21">
        <f t="shared" ca="1" si="1"/>
        <v>0</v>
      </c>
      <c r="M16" s="21">
        <f t="shared" si="1"/>
        <v>0</v>
      </c>
      <c r="N16" s="21">
        <f t="shared" ca="1" si="1"/>
        <v>430.84049889789605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0.22328079202380516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2147.6948629406206</v>
      </c>
      <c r="C20" s="23">
        <f t="shared" ref="C20:P20" ca="1" si="2">C16*C18</f>
        <v>0</v>
      </c>
      <c r="D20" s="23">
        <f t="shared" ca="1" si="2"/>
        <v>2199.1269933348572</v>
      </c>
      <c r="E20" s="23">
        <f t="shared" si="2"/>
        <v>49.128276389408768</v>
      </c>
      <c r="F20" s="23">
        <f t="shared" ca="1" si="2"/>
        <v>458.67540869677117</v>
      </c>
      <c r="G20" s="23">
        <f t="shared" si="2"/>
        <v>0</v>
      </c>
      <c r="H20" s="23">
        <f t="shared" si="2"/>
        <v>0</v>
      </c>
      <c r="I20" s="23">
        <f t="shared" si="2"/>
        <v>0</v>
      </c>
      <c r="J20" s="23">
        <f t="shared" si="2"/>
        <v>3.7191721228307154E-3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1417.9188102949499</v>
      </c>
      <c r="C26" s="39">
        <f>IF(ISERROR(B26*3.6/1000000/'E Balans VL '!Z12*100),0,B26*3.6/1000000/'E Balans VL '!Z12*100)</f>
        <v>2.9972557484805613E-2</v>
      </c>
      <c r="D26" s="237" t="s">
        <v>754</v>
      </c>
      <c r="F26" s="6"/>
    </row>
    <row r="27" spans="1:18">
      <c r="A27" s="231" t="s">
        <v>53</v>
      </c>
      <c r="B27" s="33">
        <f>IF(ISERROR(TER_horeca_ele_kWh/1000),0,TER_horeca_ele_kWh/1000)</f>
        <v>715.229258793751</v>
      </c>
      <c r="C27" s="39">
        <f>IF(ISERROR(B27*3.6/1000000/'E Balans VL '!Z9*100),0,B27*3.6/1000000/'E Balans VL '!Z9*100)</f>
        <v>5.6381255891157264E-2</v>
      </c>
      <c r="D27" s="237" t="s">
        <v>754</v>
      </c>
      <c r="F27" s="6"/>
    </row>
    <row r="28" spans="1:18">
      <c r="A28" s="171" t="s">
        <v>52</v>
      </c>
      <c r="B28" s="33">
        <f>IF(ISERROR(TER_handel_ele_kWh/1000),0,TER_handel_ele_kWh/1000)</f>
        <v>5146.35639876607</v>
      </c>
      <c r="C28" s="39">
        <f>IF(ISERROR(B28*3.6/1000000/'E Balans VL '!Z13*100),0,B28*3.6/1000000/'E Balans VL '!Z13*100)</f>
        <v>0.14936805630209329</v>
      </c>
      <c r="D28" s="237" t="s">
        <v>754</v>
      </c>
      <c r="F28" s="6"/>
    </row>
    <row r="29" spans="1:18">
      <c r="A29" s="231" t="s">
        <v>51</v>
      </c>
      <c r="B29" s="33">
        <f>IF(ISERROR(TER_gezond_ele_kWh/1000),0,TER_gezond_ele_kWh/1000)</f>
        <v>507.79559883101302</v>
      </c>
      <c r="C29" s="39">
        <f>IF(ISERROR(B29*3.6/1000000/'E Balans VL '!Z10*100),0,B29*3.6/1000000/'E Balans VL '!Z10*100)</f>
        <v>5.3479214780735355E-2</v>
      </c>
      <c r="D29" s="237" t="s">
        <v>754</v>
      </c>
      <c r="F29" s="6"/>
    </row>
    <row r="30" spans="1:18">
      <c r="A30" s="231" t="s">
        <v>50</v>
      </c>
      <c r="B30" s="33">
        <f>IF(ISERROR(TER_ander_ele_kWh/1000),0,TER_ander_ele_kWh/1000)</f>
        <v>342.13388886554901</v>
      </c>
      <c r="C30" s="39">
        <f>IF(ISERROR(B30*3.6/1000000/'E Balans VL '!Z14*100),0,B30*3.6/1000000/'E Balans VL '!Z14*100)</f>
        <v>2.5235869953833909E-2</v>
      </c>
      <c r="D30" s="237" t="s">
        <v>754</v>
      </c>
      <c r="F30" s="6"/>
    </row>
    <row r="31" spans="1:18">
      <c r="A31" s="231" t="s">
        <v>55</v>
      </c>
      <c r="B31" s="33">
        <f>IF(ISERROR(TER_onderwijs_ele_kWh/1000),0,TER_onderwijs_ele_kWh/1000)</f>
        <v>217.550598492294</v>
      </c>
      <c r="C31" s="39">
        <f>IF(ISERROR(B31*3.6/1000000/'E Balans VL '!Z11*100),0,B31*3.6/1000000/'E Balans VL '!Z11*100)</f>
        <v>5.4028004275819538E-2</v>
      </c>
      <c r="D31" s="237" t="s">
        <v>754</v>
      </c>
    </row>
    <row r="32" spans="1:18">
      <c r="A32" s="231" t="s">
        <v>260</v>
      </c>
      <c r="B32" s="33">
        <f>IF(ISERROR(TER_rest_ele_kWh/1000),0,TER_rest_ele_kWh/1000)</f>
        <v>1271.8225250339301</v>
      </c>
      <c r="C32" s="39">
        <f>IF(ISERROR(B32*3.6/1000000/'E Balans VL '!Z8*100),0,B32*3.6/1000000/'E Balans VL '!Z8*100)</f>
        <v>1.0465411208234483E-2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2049.7371871348332</v>
      </c>
      <c r="C5" s="17">
        <f>IF(ISERROR('Eigen informatie GS &amp; warmtenet'!B59),0,'Eigen informatie GS &amp; warmtenet'!B59)</f>
        <v>0</v>
      </c>
      <c r="D5" s="30">
        <f>SUM(D6:D15)</f>
        <v>963.16697248527532</v>
      </c>
      <c r="E5" s="17">
        <f>SUM(E6:E15)</f>
        <v>235.98769597630115</v>
      </c>
      <c r="F5" s="17">
        <f>SUM(F6:F15)</f>
        <v>720.02780074595887</v>
      </c>
      <c r="G5" s="18"/>
      <c r="H5" s="17"/>
      <c r="I5" s="17"/>
      <c r="J5" s="17">
        <f>SUM(J6:J15)</f>
        <v>3.8746512834153832</v>
      </c>
      <c r="K5" s="17"/>
      <c r="L5" s="17"/>
      <c r="M5" s="17"/>
      <c r="N5" s="17">
        <f>SUM(N6:N15)</f>
        <v>466.43679185896673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600.19958872115205</v>
      </c>
      <c r="C9" s="33"/>
      <c r="D9" s="37">
        <f>IF( ISERROR(IND_andere_gas_kWh/1000),0,IND_andere_gas_kWh/1000)*0.902</f>
        <v>233.07760602524175</v>
      </c>
      <c r="E9" s="33">
        <f>C31*'E Balans VL '!I19/100/3.6*1000000</f>
        <v>175.45002429100541</v>
      </c>
      <c r="F9" s="33">
        <f>C31*'E Balans VL '!L19/100/3.6*1000000+C31*'E Balans VL '!N19/100/3.6*1000000</f>
        <v>482.30580047184856</v>
      </c>
      <c r="G9" s="34"/>
      <c r="H9" s="33"/>
      <c r="I9" s="33"/>
      <c r="J9" s="40">
        <f>C31*'E Balans VL '!D19/100/3.6*1000000+C31*'E Balans VL '!E19/100/3.6*1000000</f>
        <v>0</v>
      </c>
      <c r="K9" s="33"/>
      <c r="L9" s="33"/>
      <c r="M9" s="33"/>
      <c r="N9" s="33">
        <f>C31*'E Balans VL '!Y19/100/3.6*1000000</f>
        <v>198.31525254912106</v>
      </c>
      <c r="O9" s="33"/>
      <c r="P9" s="33"/>
      <c r="R9" s="32"/>
    </row>
    <row r="10" spans="1:18">
      <c r="A10" s="6" t="s">
        <v>41</v>
      </c>
      <c r="B10" s="37">
        <f t="shared" si="0"/>
        <v>367.22702181300104</v>
      </c>
      <c r="C10" s="33"/>
      <c r="D10" s="37">
        <f>IF( ISERROR(IND_voed_gas_kWh/1000),0,IND_voed_gas_kWh/1000)*0.902</f>
        <v>0</v>
      </c>
      <c r="E10" s="33">
        <f>C32*'E Balans VL '!I20/100/3.6*1000000</f>
        <v>0.77687445856781479</v>
      </c>
      <c r="F10" s="33">
        <f>C32*'E Balans VL '!L20/100/3.6*1000000+C32*'E Balans VL '!N20/100/3.6*1000000</f>
        <v>23.34866915827341</v>
      </c>
      <c r="G10" s="34"/>
      <c r="H10" s="33"/>
      <c r="I10" s="33"/>
      <c r="J10" s="40">
        <f>C32*'E Balans VL '!D20/100/3.6*1000000+C32*'E Balans VL '!E20/100/3.6*1000000</f>
        <v>0</v>
      </c>
      <c r="K10" s="33"/>
      <c r="L10" s="33"/>
      <c r="M10" s="33"/>
      <c r="N10" s="33">
        <f>C32*'E Balans VL '!Y20/100/3.6*1000000</f>
        <v>25.342288389896428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1082.31057660068</v>
      </c>
      <c r="C15" s="33"/>
      <c r="D15" s="37">
        <f>IF( ISERROR(IND_rest_gas_kWh/1000),0,IND_rest_gas_kWh/1000)*0.902</f>
        <v>730.0893664600336</v>
      </c>
      <c r="E15" s="33">
        <f>C37*'E Balans VL '!I15/100/3.6*1000000</f>
        <v>59.760797226727917</v>
      </c>
      <c r="F15" s="33">
        <f>C37*'E Balans VL '!L15/100/3.6*1000000+C37*'E Balans VL '!N15/100/3.6*1000000</f>
        <v>214.37333111583689</v>
      </c>
      <c r="G15" s="34"/>
      <c r="H15" s="33"/>
      <c r="I15" s="33"/>
      <c r="J15" s="40">
        <f>C37*'E Balans VL '!D15/100/3.6*1000000+C37*'E Balans VL '!E15/100/3.6*1000000</f>
        <v>3.8746512834153832</v>
      </c>
      <c r="K15" s="33"/>
      <c r="L15" s="33"/>
      <c r="M15" s="33"/>
      <c r="N15" s="33">
        <f>C37*'E Balans VL '!Y15/100/3.6*1000000</f>
        <v>242.77925091994925</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2049.7371871348332</v>
      </c>
      <c r="C18" s="21">
        <f>C5+C16</f>
        <v>0</v>
      </c>
      <c r="D18" s="21">
        <f>MAX((D5+D16),0)</f>
        <v>963.16697248527532</v>
      </c>
      <c r="E18" s="21">
        <f>MAX((E5+E16),0)</f>
        <v>235.98769597630115</v>
      </c>
      <c r="F18" s="21">
        <f>MAX((F5+F16),0)</f>
        <v>720.02780074595887</v>
      </c>
      <c r="G18" s="21"/>
      <c r="H18" s="21"/>
      <c r="I18" s="21"/>
      <c r="J18" s="21">
        <f>MAX((J5+J16),0)</f>
        <v>3.8746512834153832</v>
      </c>
      <c r="K18" s="21"/>
      <c r="L18" s="21">
        <f>MAX((L5+L16),0)</f>
        <v>0</v>
      </c>
      <c r="M18" s="21"/>
      <c r="N18" s="21">
        <f>MAX((N5+N16),0)</f>
        <v>466.43679185896673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0.22328079202380516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457.66694258411206</v>
      </c>
      <c r="C22" s="23">
        <f ca="1">C18*C20</f>
        <v>0</v>
      </c>
      <c r="D22" s="23">
        <f>D18*D20</f>
        <v>194.55972844202563</v>
      </c>
      <c r="E22" s="23">
        <f>E18*E20</f>
        <v>53.569206986620365</v>
      </c>
      <c r="F22" s="23">
        <f>F18*F20</f>
        <v>192.24742279917103</v>
      </c>
      <c r="G22" s="23"/>
      <c r="H22" s="23"/>
      <c r="I22" s="23"/>
      <c r="J22" s="23">
        <f>J18*J20</f>
        <v>1.3716265543290456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600.19958872115205</v>
      </c>
      <c r="C31" s="39">
        <f>IF(ISERROR(B31*3.6/1000000/'E Balans VL '!Z19*100),0,B31*3.6/1000000/'E Balans VL '!Z19*100)</f>
        <v>2.722255415680162E-2</v>
      </c>
      <c r="D31" s="237" t="s">
        <v>754</v>
      </c>
    </row>
    <row r="32" spans="1:18">
      <c r="A32" s="171" t="s">
        <v>41</v>
      </c>
      <c r="B32" s="37">
        <f>IF( ISERROR(IND_voed_ele_kWh/1000),0,IND_voed_ele_kWh/1000)</f>
        <v>367.22702181300104</v>
      </c>
      <c r="C32" s="39">
        <f>IF(ISERROR(B32*3.6/1000000/'E Balans VL '!Z20*100),0,B32*3.6/1000000/'E Balans VL '!Z20*100)</f>
        <v>1.135999885459528E-2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1082.31057660068</v>
      </c>
      <c r="C37" s="39">
        <f>IF(ISERROR(B37*3.6/1000000/'E Balans VL '!Z15*100),0,B37*3.6/1000000/'E Balans VL '!Z15*100)</f>
        <v>8.5786405233621334E-3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233.15532520049499</v>
      </c>
      <c r="C5" s="17">
        <f>'Eigen informatie GS &amp; warmtenet'!B60</f>
        <v>0</v>
      </c>
      <c r="D5" s="30">
        <f>IF(ISERROR(SUM(LB_lb_gas_kWh,LB_rest_gas_kWh,onbekend_gas_kWh)/1000),0,SUM(LB_lb_gas_kWh,LB_rest_gas_kWh,onbekend_gas_kWh)/1000)*0.902</f>
        <v>34302.404214779286</v>
      </c>
      <c r="E5" s="17">
        <f>B17*'E Balans VL '!I25/3.6*1000000/100</f>
        <v>6.8531471462018114</v>
      </c>
      <c r="F5" s="17">
        <f>B17*('E Balans VL '!L25/3.6*1000000+'E Balans VL '!N25/3.6*1000000)/100</f>
        <v>971.31248573278322</v>
      </c>
      <c r="G5" s="18"/>
      <c r="H5" s="17"/>
      <c r="I5" s="17"/>
      <c r="J5" s="17">
        <f>('E Balans VL '!D25+'E Balans VL '!E25)/3.6*1000000*landbouw!B17/100</f>
        <v>33.779199553627706</v>
      </c>
      <c r="K5" s="17"/>
      <c r="L5" s="17">
        <f>L6*(-1)</f>
        <v>0</v>
      </c>
      <c r="M5" s="17"/>
      <c r="N5" s="17">
        <f>N6*(-1)</f>
        <v>0</v>
      </c>
      <c r="O5" s="17"/>
      <c r="P5" s="17"/>
      <c r="R5" s="32"/>
    </row>
    <row r="6" spans="1:18">
      <c r="A6" s="16" t="s">
        <v>488</v>
      </c>
      <c r="B6" s="17" t="s">
        <v>211</v>
      </c>
      <c r="C6" s="17">
        <f>'lokale energieproductie'!O91+'lokale energieproductie'!O60</f>
        <v>20031.428571428572</v>
      </c>
      <c r="D6" s="310">
        <f>('lokale energieproductie'!P60+'lokale energieproductie'!P91)*(-1)</f>
        <v>-40062.857142857145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233.15532520049499</v>
      </c>
      <c r="C8" s="21">
        <f>C5+C6</f>
        <v>20031.428571428572</v>
      </c>
      <c r="D8" s="21">
        <f>MAX((D5+D6),0)</f>
        <v>0</v>
      </c>
      <c r="E8" s="21">
        <f>MAX((E5+E6),0)</f>
        <v>6.8531471462018114</v>
      </c>
      <c r="F8" s="21">
        <f>MAX((F5+F6),0)</f>
        <v>971.31248573278322</v>
      </c>
      <c r="G8" s="21"/>
      <c r="H8" s="21"/>
      <c r="I8" s="21"/>
      <c r="J8" s="21">
        <f>MAX((J5+J6),0)</f>
        <v>33.779199553627706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0.22328079202380516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52.059105675334379</v>
      </c>
      <c r="C12" s="23">
        <f ca="1">C8*C10</f>
        <v>4760.4100840336141</v>
      </c>
      <c r="D12" s="23">
        <f>D8*D10</f>
        <v>0</v>
      </c>
      <c r="E12" s="23">
        <f>E8*E10</f>
        <v>1.5556644021878112</v>
      </c>
      <c r="F12" s="23">
        <f>F8*F10</f>
        <v>259.34043369065313</v>
      </c>
      <c r="G12" s="23"/>
      <c r="H12" s="23"/>
      <c r="I12" s="23"/>
      <c r="J12" s="23">
        <f>J8*J10</f>
        <v>11.957836641984207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3.3085472148474508E-2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1.0475268812537817</v>
      </c>
      <c r="C26" s="247">
        <f>B26*'GWP N2O_CH4'!B5</f>
        <v>21.998064506329417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8.2383476510824241E-2</v>
      </c>
      <c r="C27" s="247">
        <f>B27*'GWP N2O_CH4'!B5</f>
        <v>1.730053006727309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1.0082164887078427E-2</v>
      </c>
      <c r="C28" s="247">
        <f>B28*'GWP N2O_CH4'!B4</f>
        <v>3.1254711149943124</v>
      </c>
      <c r="D28" s="50"/>
    </row>
    <row r="29" spans="1:4">
      <c r="A29" s="41" t="s">
        <v>277</v>
      </c>
      <c r="B29" s="247">
        <f>B34*'ha_N2O bodem landbouw'!B4</f>
        <v>0.5111953070509625</v>
      </c>
      <c r="C29" s="247">
        <f>B29*'GWP N2O_CH4'!B4</f>
        <v>158.47054518579839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1.1665300741163055E-4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4.5339319905551303E-5</v>
      </c>
      <c r="C5" s="463" t="s">
        <v>211</v>
      </c>
      <c r="D5" s="448">
        <f>SUM(D6:D11)</f>
        <v>1.5006517248966362E-4</v>
      </c>
      <c r="E5" s="448">
        <f>SUM(E6:E11)</f>
        <v>2.0176416518467269E-4</v>
      </c>
      <c r="F5" s="461" t="s">
        <v>211</v>
      </c>
      <c r="G5" s="448">
        <f>SUM(G6:G11)</f>
        <v>8.1065628301743076E-2</v>
      </c>
      <c r="H5" s="448">
        <f>SUM(H6:H11)</f>
        <v>1.6971014201610984E-2</v>
      </c>
      <c r="I5" s="463" t="s">
        <v>211</v>
      </c>
      <c r="J5" s="463" t="s">
        <v>211</v>
      </c>
      <c r="K5" s="463" t="s">
        <v>211</v>
      </c>
      <c r="L5" s="463" t="s">
        <v>211</v>
      </c>
      <c r="M5" s="448">
        <f>SUM(M6:M11)</f>
        <v>5.2400064986797088E-3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3.93085892073219E-5</v>
      </c>
      <c r="C6" s="449"/>
      <c r="D6" s="962">
        <f>vkm_2011_GW_PW*SUMIFS(TableVerdeelsleutelVkm[CNG],TableVerdeelsleutelVkm[Voertuigtype],"Lichte voertuigen")*SUMIFS(TableECFTransport[EnergieConsumptieFactor (PJ per km)],TableECFTransport[Index],CONCATENATE($A6,"_CNG_CNG"))</f>
        <v>1.1790320654393862E-4</v>
      </c>
      <c r="E6" s="962">
        <f>vkm_2011_GW_PW*SUMIFS(TableVerdeelsleutelVkm[LPG],TableVerdeelsleutelVkm[Voertuigtype],"Lichte voertuigen")*SUMIFS(TableECFTransport[EnergieConsumptieFactor (PJ per km)],TableECFTransport[Index],CONCATENATE($A6,"_LPG_LPG"))</f>
        <v>1.6107271609999785E-4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4.1646020695391077E-2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1.3407787570021319E-2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2.8310902988980709E-3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2.944851222133452E-2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8.9737382902353286E-6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1.720873270412038E-3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6.0307306982294035E-6</v>
      </c>
      <c r="C8" s="449"/>
      <c r="D8" s="451">
        <f>vkm_2011_NGW_PW*SUMIFS(TableVerdeelsleutelVkm[CNG],TableVerdeelsleutelVkm[Voertuigtype],"Lichte voertuigen")*SUMIFS(TableECFTransport[EnergieConsumptieFactor (PJ per km)],TableECFTransport[Index],CONCATENATE($A8,"_CNG_CNG"))</f>
        <v>3.2161965945724983E-5</v>
      </c>
      <c r="E8" s="451">
        <f>vkm_2011_NGW_PW*SUMIFS(TableVerdeelsleutelVkm[LPG],TableVerdeelsleutelVkm[Voertuigtype],"Lichte voertuigen")*SUMIFS(TableECFTransport[EnergieConsumptieFactor (PJ per km)],TableECFTransport[Index],CONCATENATE($A8,"_LPG_LPG"))</f>
        <v>4.0691449084674837E-5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9.8044060501606654E-3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3.5542050745398239E-3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6.7830224642744679E-4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1.6668933485680339E-4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4.7818759603934656E-8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9.7406829421536127E-6</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12.594255529319806</v>
      </c>
      <c r="C14" s="21"/>
      <c r="D14" s="21">
        <f t="shared" ref="D14:M14" si="0">((D5)*10^9/3600)+D12</f>
        <v>41.684770136017669</v>
      </c>
      <c r="E14" s="21">
        <f t="shared" si="0"/>
        <v>56.045601440186857</v>
      </c>
      <c r="F14" s="21"/>
      <c r="G14" s="21">
        <f t="shared" si="0"/>
        <v>22518.230083817522</v>
      </c>
      <c r="H14" s="21">
        <f t="shared" si="0"/>
        <v>4714.1706115586076</v>
      </c>
      <c r="I14" s="21"/>
      <c r="J14" s="21"/>
      <c r="K14" s="21"/>
      <c r="L14" s="21"/>
      <c r="M14" s="21">
        <f t="shared" si="0"/>
        <v>1455.5573607443635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0.22328079202380516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2.8120553495367138</v>
      </c>
      <c r="C18" s="23"/>
      <c r="D18" s="23">
        <f t="shared" ref="D18:M18" si="1">D14*D16</f>
        <v>8.4203235674755703</v>
      </c>
      <c r="E18" s="23">
        <f t="shared" si="1"/>
        <v>12.722351526922417</v>
      </c>
      <c r="F18" s="23"/>
      <c r="G18" s="23">
        <f t="shared" si="1"/>
        <v>6012.3674323792784</v>
      </c>
      <c r="H18" s="23">
        <f t="shared" si="1"/>
        <v>1173.8284822780934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3.6453949643660919E-3</v>
      </c>
      <c r="H50" s="321">
        <f t="shared" si="2"/>
        <v>0</v>
      </c>
      <c r="I50" s="321">
        <f t="shared" si="2"/>
        <v>0</v>
      </c>
      <c r="J50" s="321">
        <f t="shared" si="2"/>
        <v>0</v>
      </c>
      <c r="K50" s="321">
        <f t="shared" si="2"/>
        <v>0</v>
      </c>
      <c r="L50" s="321">
        <f t="shared" si="2"/>
        <v>0</v>
      </c>
      <c r="M50" s="321">
        <f t="shared" si="2"/>
        <v>2.0704234110147191E-4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3.6453949643660919E-3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2.0704234110147191E-4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1012.6097123239144</v>
      </c>
      <c r="H54" s="21">
        <f t="shared" si="3"/>
        <v>0</v>
      </c>
      <c r="I54" s="21">
        <f t="shared" si="3"/>
        <v>0</v>
      </c>
      <c r="J54" s="21">
        <f t="shared" si="3"/>
        <v>0</v>
      </c>
      <c r="K54" s="21">
        <f t="shared" si="3"/>
        <v>0</v>
      </c>
      <c r="L54" s="21">
        <f t="shared" si="3"/>
        <v>0</v>
      </c>
      <c r="M54" s="21">
        <f t="shared" si="3"/>
        <v>57.511761417075533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0.22328079202380516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270.36679319048517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773.76127381397714</v>
      </c>
      <c r="C6" s="1204"/>
      <c r="D6" s="1189"/>
      <c r="E6" s="1189"/>
      <c r="F6" s="1207"/>
      <c r="G6" s="1210"/>
      <c r="H6" s="1201"/>
      <c r="I6" s="1189"/>
      <c r="J6" s="1189"/>
      <c r="K6" s="1189"/>
      <c r="L6" s="1193"/>
      <c r="M6" s="575"/>
      <c r="N6" s="1167"/>
      <c r="O6" s="1168"/>
      <c r="Q6" s="573"/>
      <c r="R6" s="1155"/>
      <c r="S6" s="1155"/>
    </row>
    <row r="7" spans="1:19" s="563" customFormat="1">
      <c r="A7" s="576" t="s">
        <v>252</v>
      </c>
      <c r="B7" s="577">
        <f>N57</f>
        <v>14022</v>
      </c>
      <c r="C7" s="578">
        <f>B100</f>
        <v>16496.470588235294</v>
      </c>
      <c r="D7" s="579"/>
      <c r="E7" s="579">
        <f>E100</f>
        <v>0</v>
      </c>
      <c r="F7" s="580"/>
      <c r="G7" s="581"/>
      <c r="H7" s="579">
        <f>I100</f>
        <v>0</v>
      </c>
      <c r="I7" s="579">
        <f>G100+F100</f>
        <v>0</v>
      </c>
      <c r="J7" s="579">
        <f>H100+D100+C100</f>
        <v>0</v>
      </c>
      <c r="K7" s="579"/>
      <c r="L7" s="582"/>
      <c r="M7" s="583">
        <f>C7*$C$11+D7*$D$11+E7*$E$11+F7*$F$11+G7*$G$11+H7*$H$11+I7*$I$11+J7*$J$11</f>
        <v>3332.2870588235296</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14795.761273813978</v>
      </c>
      <c r="C9" s="594">
        <f t="shared" ref="C9:L9" si="0">SUM(C7:C8)</f>
        <v>16496.470588235294</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3332.2870588235296</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20031.428571428572</v>
      </c>
      <c r="C16" s="610">
        <f>B101</f>
        <v>23566.386554621851</v>
      </c>
      <c r="D16" s="611"/>
      <c r="E16" s="611">
        <f>E101</f>
        <v>0</v>
      </c>
      <c r="F16" s="612"/>
      <c r="G16" s="613"/>
      <c r="H16" s="610">
        <f>I101</f>
        <v>0</v>
      </c>
      <c r="I16" s="611">
        <f>G101+F101</f>
        <v>0</v>
      </c>
      <c r="J16" s="611">
        <f>H101+D101+C101</f>
        <v>0</v>
      </c>
      <c r="K16" s="611"/>
      <c r="L16" s="614"/>
      <c r="M16" s="615">
        <f>C16*$C$21+E16*$E$21+H16*$H$21+I16*$I$21+J16*$J$21+D16*$D$21+F16*$F$21+G16*$G$21+K16*$K$21+L16*$L$21</f>
        <v>4760.4100840336141</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20031.428571428572</v>
      </c>
      <c r="C19" s="593">
        <f>SUM(C16:C18)</f>
        <v>23566.386554621851</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4760.4100840336141</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11007</v>
      </c>
      <c r="C27" s="851">
        <v>2150</v>
      </c>
      <c r="D27" s="672" t="s">
        <v>809</v>
      </c>
      <c r="E27" s="671" t="s">
        <v>810</v>
      </c>
      <c r="F27" s="671" t="s">
        <v>811</v>
      </c>
      <c r="G27" s="671" t="s">
        <v>812</v>
      </c>
      <c r="H27" s="671" t="s">
        <v>813</v>
      </c>
      <c r="I27" s="671" t="s">
        <v>810</v>
      </c>
      <c r="J27" s="850">
        <v>40101</v>
      </c>
      <c r="K27" s="850">
        <v>40114</v>
      </c>
      <c r="L27" s="671" t="s">
        <v>814</v>
      </c>
      <c r="M27" s="671">
        <v>3116</v>
      </c>
      <c r="N27" s="671">
        <v>14022</v>
      </c>
      <c r="O27" s="671">
        <v>20031.428571428572</v>
      </c>
      <c r="P27" s="671">
        <v>40062.857142857145</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3116</v>
      </c>
      <c r="N57" s="629">
        <f>SUM(N27:N56)</f>
        <v>14022</v>
      </c>
      <c r="O57" s="629">
        <f t="shared" ref="O57:W57" si="2">SUM(O27:O56)</f>
        <v>20031.428571428572</v>
      </c>
      <c r="P57" s="629">
        <f t="shared" si="2"/>
        <v>40062.857142857145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3116</v>
      </c>
      <c r="N60" s="634">
        <f t="shared" ref="N60:W60" si="4">SUMIF($Z$27:$Z$56,"landbouw",N27:N56)</f>
        <v>14022</v>
      </c>
      <c r="O60" s="634">
        <f t="shared" si="4"/>
        <v>20031.428571428572</v>
      </c>
      <c r="P60" s="634">
        <f t="shared" si="4"/>
        <v>40062.857142857145</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16496.470588235294</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23566.386554621851</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2018-09-06T12:45:43Z</dcterms:modified>
</cp:coreProperties>
</file>