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<sst xmlns="http://schemas.openxmlformats.org/spreadsheetml/2006/main" count="1914" uniqueCount="809">
  <si>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</si>
  <si>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</si>
  <si>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</si>
  <si>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</si>
  <si>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</si>
  <si>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</si>
  <si>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</si>
  <si>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</si>
  <si>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</si>
  <si>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</si>
  <si>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</si>
  <si>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</si>
  <si>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</si>
  <si>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</si>
  <si>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</si>
  <si>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</si>
  <si>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</si>
  <si>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</si>
  <si>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</si>
  <si>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</si>
  <si>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</si>
  <si>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</si>
  <si>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</si>
  <si>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</si>
  <si>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</si>
  <si>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</si>
  <si>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</si>
  <si>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</si>
  <si>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</si>
  <si>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</si>
  <si>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</si>
  <si>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</si>
  <si>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</si>
  <si>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</si>
  <si>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</si>
  <si>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</si>
  <si>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</si>
  <si>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</si>
  <si>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</si>
  <si>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</si>
  <si>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</si>
  <si>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</si>
  <si>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</si>
  <si>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</si>
  <si>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</si>
  <si>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</si>
  <si>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</si>
  <si>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</si>
  <si>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</si>
  <si>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</si>
  <si>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</si>
  <si>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</si>
  <si>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</si>
  <si>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</si>
  <si>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</si>
  <si>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</si>
  <si>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</si>
  <si>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</si>
  <si>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</si>
  <si>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</si>
  <si>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</si>
  <si>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</si>
  <si>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</si>
  <si>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</si>
  <si>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</si>
  <si>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</si>
  <si>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</si>
  <si>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</si>
  <si>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</si>
  <si>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</si>
  <si>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</si>
  <si>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</si>
  <si>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</si>
  <si>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</si>
  <si>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</si>
  <si>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</si>
  <si>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</si>
  <si>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</si>
  <si>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</si>
  <si>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</si>
  <si>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</si>
  <si>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</si>
  <si>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</si>
  <si>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</si>
  <si>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</si>
  <si>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</si>
  <si>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</si>
  <si>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</si>
  <si>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</si>
  <si>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</si>
  <si>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</si>
  <si>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</si>
  <si>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</si>
  <si>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</si>
  <si>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</si>
  <si>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</si>
  <si>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</si>
  <si>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</si>
  <si>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</si>
  <si>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</si>
  <si>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</si>
  <si>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</si>
  <si>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</si>
  <si>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</si>
  <si>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</si>
  <si>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</si>
  <si>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</si>
  <si>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</si>
  <si>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</si>
  <si>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</si>
  <si>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</si>
  <si>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</si>
  <si>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</si>
  <si>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</si>
  <si>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</si>
  <si>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</si>
  <si>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</si>
  <si>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</si>
  <si>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</si>
  <si>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</si>
  <si>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</si>
  <si>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</si>
  <si>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</si>
  <si>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</si>
  <si>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</si>
  <si>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</si>
  <si>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</si>
  <si>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</si>
  <si>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</si>
  <si>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</si>
  <si>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</si>
  <si>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</si>
  <si>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</si>
  <si>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</si>
  <si>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</si>
  <si>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</si>
  <si>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</si>
  <si>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</si>
  <si>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</si>
  <si>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</si>
  <si>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</si>
  <si>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</si>
  <si>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</si>
  <si>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</si>
  <si>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</si>
  <si>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</si>
  <si>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</si>
  <si>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</si>
  <si>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</si>
  <si>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</si>
  <si>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</si>
  <si>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</si>
  <si>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</si>
  <si>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</si>
  <si>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</si>
  <si>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</si>
  <si>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</si>
  <si>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</si>
  <si>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</si>
  <si>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</si>
  <si>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</si>
  <si>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</si>
  <si>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</si>
  <si>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</si>
  <si>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</si>
  <si>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</si>
  <si>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</si>
  <si>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</si>
  <si>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</si>
  <si>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</si>
  <si>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</si>
  <si>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</si>
  <si>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</si>
  <si>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</si>
  <si>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</si>
  <si>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</si>
  <si>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</si>
  <si>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</si>
  <si>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</si>
  <si>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</si>
  <si>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</si>
  <si>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</si>
  <si>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</si>
  <si>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</si>
  <si>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</si>
  <si>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</si>
  <si>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</si>
  <si>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</si>
  <si>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</si>
  <si>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</si>
  <si>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</si>
  <si>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</si>
  <si>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</si>
  <si>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</si>
  <si>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</si>
  <si>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</si>
  <si>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</si>
  <si>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</si>
  <si>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</si>
  <si>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</si>
  <si>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</si>
  <si>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</si>
  <si>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</si>
  <si>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</si>
  <si>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</si>
  <si>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</si>
  <si>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</si>
  <si>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</si>
  <si>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</si>
  <si>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</si>
  <si>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</si>
  <si>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</si>
  <si>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</si>
  <si>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</si>
  <si>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</si>
  <si>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</si>
  <si>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</si>
  <si>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</si>
  <si>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</si>
  <si>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</si>
  <si>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</si>
  <si>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</si>
  <si>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</si>
  <si>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</si>
  <si>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</si>
  <si>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</si>
  <si>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</si>
  <si>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</si>
  <si>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</si>
  <si>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</si>
  <si>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</si>
  <si>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</si>
  <si>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</si>
  <si>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</si>
  <si>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</si>
  <si>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</si>
  <si>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</si>
  <si>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</si>
  <si>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</si>
  <si>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</si>
  <si>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</si>
  <si>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</si>
  <si>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</si>
  <si>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</si>
  <si>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</si>
  <si>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</si>
  <si>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</si>
  <si>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</si>
  <si>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</si>
  <si>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</si>
  <si>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</si>
  <si>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</si>
  <si>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</si>
  <si>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</si>
  <si>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</si>
  <si>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</si>
  <si>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</si>
  <si>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</si>
  <si>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</si>
  <si>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</si>
  <si>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</si>
  <si>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</si>
  <si>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</si>
  <si>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</si>
  <si>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</si>
  <si>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</si>
  <si>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</si>
  <si>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</si>
  <si>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</si>
  <si>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</si>
  <si>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</si>
  <si>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</si>
  <si>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</si>
  <si>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</si>
  <si>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</si>
  <si>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</si>
  <si>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</si>
  <si>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</si>
  <si>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</si>
  <si>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</si>
  <si>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</si>
  <si>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</si>
  <si>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</si>
  <si>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</si>
  <si>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</si>
  <si>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</si>
  <si>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</si>
  <si>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</si>
  <si>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</si>
  <si>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</si>
  <si>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</si>
  <si>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</si>
  <si>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</si>
  <si>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</si>
  <si>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</si>
  <si>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</si>
  <si>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</si>
  <si>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</si>
  <si>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</si>
  <si>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</si>
  <si>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</si>
  <si>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</si>
  <si>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</si>
  <si>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</si>
  <si>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</si>
  <si>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</si>
  <si>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</si>
  <si>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</si>
  <si>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</si>
  <si>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</si>
  <si>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</si>
  <si>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</si>
  <si>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</si>
  <si>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</si>
  <si>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</si>
  <si>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</si>
  <si>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</si>
  <si>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</si>
  <si>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</si>
  <si>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</si>
  <si>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</si>
  <si>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</si>
  <si>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</si>
  <si>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</si>
  <si>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</si>
  <si>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</si>
  <si>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</si>
  <si>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</si>
  <si>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</si>
  <si>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</si>
  <si>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</si>
  <si>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</si>
  <si>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</si>
  <si>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</si>
  <si>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</si>
  <si>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</si>
  <si>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</si>
  <si>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</si>
  <si>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</si>
  <si>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</si>
  <si>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</si>
  <si>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</si>
  <si>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</si>
  <si>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</si>
  <si>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</si>
  <si>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</si>
  <si>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</si>
  <si>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</si>
  <si>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</si>
  <si>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</si>
  <si>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</si>
  <si>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</si>
  <si>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</si>
  <si>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</si>
  <si>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</si>
  <si>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</si>
  <si>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</si>
  <si>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</si>
  <si>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</si>
  <si>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</si>
  <si>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</si>
  <si>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</si>
  <si>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</si>
  <si>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</si>
  <si>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</si>
  <si>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</si>
  <si>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</si>
  <si>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</si>
  <si>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</si>
  <si>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</si>
  <si>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</si>
  <si>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</si>
  <si>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</si>
  <si>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</si>
  <si>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</si>
  <si>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</si>
  <si>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</si>
  <si>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</si>
  <si>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</si>
  <si>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</si>
  <si>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</si>
  <si>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</si>
  <si>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</si>
  <si>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</si>
  <si>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</si>
  <si>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</si>
  <si>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</si>
  <si>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</si>
  <si>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</si>
  <si>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</si>
  <si>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</si>
  <si>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</si>
  <si>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</si>
  <si>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</si>
  <si>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</si>
  <si>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</si>
  <si>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</si>
  <si>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</si>
  <si>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</si>
  <si>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</si>
  <si>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</si>
  <si>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</si>
  <si>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</si>
  <si>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</si>
  <si>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</si>
  <si>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</si>
  <si>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</si>
  <si>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</si>
  <si>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</si>
  <si>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</si>
  <si>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</si>
  <si>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</si>
  <si>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</si>
  <si>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</si>
  <si>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</si>
  <si>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</si>
  <si>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</si>
  <si>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</si>
  <si>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</si>
  <si>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</si>
  <si>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</si>
  <si>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</si>
  <si>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</si>
  <si>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</si>
  <si>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</si>
  <si>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</si>
  <si>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</si>
  <si>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</si>
  <si>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</si>
  <si>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</si>
  <si>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</si>
  <si>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</si>
  <si>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</si>
  <si>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</si>
  <si>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</si>
  <si>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</si>
  <si>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</si>
  <si>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</si>
  <si>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</si>
  <si>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</si>
  <si>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</si>
  <si>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</si>
  <si>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</si>
  <si>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</si>
  <si>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</si>
  <si>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</si>
  <si>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</si>
  <si>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</si>
  <si>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</si>
  <si>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</si>
  <si>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</si>
  <si>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</si>
  <si>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</si>
  <si>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</si>
  <si>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</si>
  <si>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</si>
  <si>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</si>
  <si>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</si>
  <si>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</si>
  <si>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</si>
  <si>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</si>
  <si>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</si>
  <si>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</si>
  <si>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</si>
  <si>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</si>
  <si>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</si>
  <si>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</si>
  <si>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</si>
  <si>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</si>
  <si>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</si>
  <si>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</si>
  <si>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</si>
  <si>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</si>
  <si>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</si>
  <si>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</si>
  <si>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</si>
  <si>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</si>
  <si>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</si>
  <si>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</si>
  <si>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</si>
  <si>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</si>
  <si>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</si>
  <si>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</si>
  <si>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</si>
  <si>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</si>
  <si>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</si>
  <si>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</si>
  <si>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</si>
  <si>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</si>
  <si>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</si>
  <si>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</si>
  <si>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</si>
  <si>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</si>
  <si>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</si>
  <si>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</si>
  <si>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</si>
  <si>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</si>
  <si>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</si>
  <si>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</si>
  <si>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</si>
  <si>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</si>
  <si>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</si>
  <si>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</si>
  <si>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</si>
  <si>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</si>
  <si>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</si>
  <si>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</si>
  <si>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</si>
  <si>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</si>
  <si>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</si>
  <si>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</si>
  <si>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</si>
  <si>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</si>
  <si>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</si>
  <si>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</si>
  <si>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</si>
  <si>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</si>
  <si>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</si>
  <si>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</si>
  <si>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</si>
  <si>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</si>
  <si>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</si>
  <si>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</si>
  <si>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</si>
  <si>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</si>
  <si>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</si>
  <si>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</si>
  <si>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</si>
  <si>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</si>
  <si>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</si>
  <si>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</si>
  <si>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</si>
  <si>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</si>
  <si>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</si>
  <si>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</si>
  <si>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</si>
  <si>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</si>
  <si>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</si>
  <si>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</si>
  <si>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</si>
  <si>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</si>
  <si>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</si>
  <si>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</si>
  <si>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</si>
  <si>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</si>
  <si>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</si>
  <si>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</si>
  <si>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</si>
  <si>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</si>
  <si>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</si>
  <si>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</si>
  <si>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</si>
  <si>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</si>
  <si>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</si>
  <si>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</si>
  <si>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</si>
  <si>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</si>
  <si>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</si>
  <si>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</si>
  <si>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</si>
  <si>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</si>
  <si>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</si>
  <si>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</si>
  <si>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</si>
  <si>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</si>
  <si>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</si>
  <si>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</si>
  <si>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</si>
  <si>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</si>
  <si>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</si>
  <si>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</si>
  <si>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</si>
  <si>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</si>
  <si>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</si>
  <si>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</si>
  <si>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</si>
  <si>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</si>
  <si>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</si>
  <si>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</si>
  <si>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</si>
  <si>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</si>
  <si>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</si>
  <si>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</si>
  <si>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</si>
  <si>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</si>
  <si>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</si>
  <si>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</si>
  <si>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</si>
  <si>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</si>
  <si>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</si>
  <si>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</si>
  <si>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</si>
  <si>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</si>
  <si>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</si>
  <si>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</si>
  <si>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</si>
  <si>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</si>
  <si>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</si>
  <si>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</si>
  <si>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</si>
  <si>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</si>
  <si>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</si>
  <si>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</si>
  <si>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</si>
  <si>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</si>
  <si>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</si>
  <si>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</si>
  <si>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</si>
  <si>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</si>
  <si>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</si>
  <si>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</si>
  <si>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</si>
  <si>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</si>
  <si>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</si>
  <si>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</si>
  <si>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</si>
  <si>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</si>
  <si>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</si>
  <si>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</si>
  <si>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</si>
  <si>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</si>
  <si>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</si>
  <si>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</si>
  <si>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</si>
  <si>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</si>
  <si>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</si>
  <si>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</si>
  <si>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</si>
  <si>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</si>
  <si>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</si>
  <si>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</si>
  <si>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</si>
  <si>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</si>
  <si>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</si>
  <si>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</si>
  <si>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</si>
  <si>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</si>
  <si>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</si>
  <si>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</si>
  <si>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</si>
  <si>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</si>
  <si>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</si>
  <si>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</si>
  <si>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</si>
  <si>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</si>
  <si>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</si>
  <si>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</si>
  <si>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</si>
  <si>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</si>
  <si>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</si>
  <si>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</si>
  <si>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</si>
  <si>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</si>
  <si>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</si>
  <si>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</si>
  <si>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</si>
  <si>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</si>
  <si>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</si>
  <si>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</si>
  <si>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</si>
  <si>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</si>
  <si>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</si>
  <si>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</si>
  <si>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</si>
  <si>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</si>
  <si>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</si>
  <si>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</si>
  <si>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</si>
  <si>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</si>
  <si>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</si>
  <si>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</si>
  <si>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</si>
  <si>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</si>
  <si>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</si>
  <si>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</si>
  <si>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</si>
  <si>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</si>
  <si>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</si>
  <si>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</si>
  <si>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</si>
  <si>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</si>
  <si>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</si>
  <si>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</si>
  <si>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</si>
  <si>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</si>
  <si>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</si>
  <si>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</si>
  <si>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</si>
  <si>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</si>
  <si>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</si>
  <si>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</si>
  <si>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</si>
  <si>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</si>
  <si>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</si>
  <si>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</si>
  <si>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</si>
  <si>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</si>
  <si>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</si>
  <si>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</si>
  <si>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</si>
  <si>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</si>
  <si>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</si>
  <si>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</si>
  <si>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</si>
  <si>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</si>
  <si>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</si>
  <si>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</si>
  <si>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</si>
  <si>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</si>
  <si>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</si>
  <si>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</si>
  <si>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</si>
  <si>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</si>
  <si>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</si>
  <si>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</si>
  <si>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</si>
  <si>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</si>
  <si>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</si>
  <si>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</si>
  <si>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</si>
  <si>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</si>
  <si>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</si>
  <si>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</si>
  <si>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</si>
  <si>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</si>
  <si>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</si>
  <si>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</si>
  <si>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</si>
  <si>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</si>
  <si>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</si>
  <si>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</si>
  <si>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</si>
  <si>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</si>
  <si>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</si>
  <si>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</si>
  <si>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</si>
  <si>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</si>
  <si>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</si>
  <si>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</si>
  <si>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</si>
  <si>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</si>
  <si>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</si>
  <si>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</si>
  <si>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</si>
  <si>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</si>
  <si>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</si>
  <si>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</si>
  <si>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</si>
  <si>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</si>
  <si>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</si>
  <si>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</si>
  <si>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</si>
  <si>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</si>
  <si>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</si>
  <si>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</si>
  <si>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</si>
  <si>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</si>
  <si>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</si>
  <si>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</si>
  <si>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</si>
  <si>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</si>
  <si>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</si>
  <si>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</si>
  <si>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</si>
  <si>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</si>
  <si>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</si>
  <si>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</si>
  <si>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</si>
  <si>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</si>
  <si>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</si>
  <si>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</si>
  <si>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</si>
  <si>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</si>
  <si>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</si>
  <si>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</si>
  <si>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</si>
  <si>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</si>
  <si>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</si>
  <si>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</si>
  <si>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</si>
  <si>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</si>
  <si>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</si>
  <si>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</si>
  <si>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</si>
  <si>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</si>
  <si>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</si>
  <si>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</si>
  <si>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</si>
  <si>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</si>
  <si>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</si>
  <si>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</si>
  <si>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</si>
  <si>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</si>
  <si>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</si>
  <si>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</si>
  <si>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</si>
  <si>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</si>
  <si>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</si>
  <si>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</si>
  <si>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</si>
  <si>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</si>
  <si>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11005</t>
  </si>
  <si>
    <t>BOOM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</si>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</sst>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108638.18466240578</c:v>
                </c:pt>
                <c:pt idx="1">
                  <c:v>56507.800385121394</c:v>
                </c:pt>
                <c:pt idx="2">
                  <c:v>1021.266</c:v>
                </c:pt>
                <c:pt idx="3">
                  <c:v>3412.6576551066291</c:v>
                </c:pt>
                <c:pt idx="4">
                  <c:v>13064.49003253837</c:v>
                </c:pt>
                <c:pt idx="5">
                  <c:v>136483.81495791941</c:v>
                </c:pt>
                <c:pt idx="6">
                  <c:v>2091.9022741311151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108638.18466240578</c:v>
                </c:pt>
                <c:pt idx="1">
                  <c:v>56507.800385121394</c:v>
                </c:pt>
                <c:pt idx="2">
                  <c:v>1021.266</c:v>
                </c:pt>
                <c:pt idx="3">
                  <c:v>3412.6576551066291</c:v>
                </c:pt>
                <c:pt idx="4">
                  <c:v>13064.49003253837</c:v>
                </c:pt>
                <c:pt idx="5">
                  <c:v>136483.81495791941</c:v>
                </c:pt>
                <c:pt idx="6">
                  <c:v>2091.9022741311151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20867.565918171695</c:v>
                </c:pt>
                <c:pt idx="1">
                  <c:v>11157.318234790828</c:v>
                </c:pt>
                <c:pt idx="2">
                  <c:v>194.70850046457934</c:v>
                </c:pt>
                <c:pt idx="3">
                  <c:v>700.40385489364166</c:v>
                </c:pt>
                <c:pt idx="4">
                  <c:v>2440.7897341331409</c:v>
                </c:pt>
                <c:pt idx="5">
                  <c:v>34176.160777432255</c:v>
                </c:pt>
                <c:pt idx="6">
                  <c:v>528.52028802629638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20867.565918171695</c:v>
                </c:pt>
                <c:pt idx="1">
                  <c:v>11157.318234790828</c:v>
                </c:pt>
                <c:pt idx="2">
                  <c:v>194.70850046457934</c:v>
                </c:pt>
                <c:pt idx="3">
                  <c:v>700.40385489364166</c:v>
                </c:pt>
                <c:pt idx="4">
                  <c:v>2440.7897341331409</c:v>
                </c:pt>
                <c:pt idx="5">
                  <c:v>34176.160777432255</c:v>
                </c:pt>
                <c:pt idx="6">
                  <c:v>528.52028802629638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11005</v>
      </c>
      <c r="B6" s="415"/>
      <c r="C6" s="416"/>
    </row>
    <row r="7" spans="1:7" s="413" customFormat="1" ht="15.75" customHeight="1">
      <c r="A7" s="417" t="str">
        <f>txtMunicipality</f>
        <v>BOOM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7397</v>
      </c>
      <c r="C9" s="342">
        <v>7957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48.59</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41</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16665.0859215811</v>
      </c>
    </row>
    <row r="37" spans="1:6">
      <c r="A37" s="348" t="s">
        <v>25</v>
      </c>
      <c r="B37" s="348" t="s">
        <v>28</v>
      </c>
      <c r="C37" s="334">
        <v>0</v>
      </c>
      <c r="D37" s="334">
        <v>0</v>
      </c>
      <c r="E37" s="334">
        <v>0</v>
      </c>
      <c r="F37" s="334">
        <v>0</v>
      </c>
    </row>
    <row r="38" spans="1:6">
      <c r="A38" s="348" t="s">
        <v>25</v>
      </c>
      <c r="B38" s="348" t="s">
        <v>29</v>
      </c>
      <c r="C38" s="334">
        <v>1</v>
      </c>
      <c r="D38" s="334">
        <v>214004.11579349099</v>
      </c>
      <c r="E38" s="334">
        <v>3</v>
      </c>
      <c r="F38" s="334">
        <v>15626.8133601095</v>
      </c>
    </row>
    <row r="39" spans="1:6">
      <c r="A39" s="348" t="s">
        <v>30</v>
      </c>
      <c r="B39" s="348" t="s">
        <v>31</v>
      </c>
      <c r="C39" s="334">
        <v>6137</v>
      </c>
      <c r="D39" s="334">
        <v>86375552.0627352</v>
      </c>
      <c r="E39" s="334">
        <v>7533</v>
      </c>
      <c r="F39" s="334">
        <v>24881994.992078401</v>
      </c>
    </row>
    <row r="40" spans="1:6">
      <c r="A40" s="348" t="s">
        <v>30</v>
      </c>
      <c r="B40" s="348" t="s">
        <v>29</v>
      </c>
      <c r="C40" s="334">
        <v>0</v>
      </c>
      <c r="D40" s="334">
        <v>0</v>
      </c>
      <c r="E40" s="334">
        <v>0</v>
      </c>
      <c r="F40" s="334">
        <v>0</v>
      </c>
    </row>
    <row r="41" spans="1:6">
      <c r="A41" s="348" t="s">
        <v>32</v>
      </c>
      <c r="B41" s="348" t="s">
        <v>33</v>
      </c>
      <c r="C41" s="334">
        <v>68</v>
      </c>
      <c r="D41" s="334">
        <v>1257179.1237981</v>
      </c>
      <c r="E41" s="334">
        <v>131</v>
      </c>
      <c r="F41" s="334">
        <v>540753.79213537299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822797.41858963005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3086702.0655987002</v>
      </c>
      <c r="E48" s="334">
        <v>38</v>
      </c>
      <c r="F48" s="334">
        <v>4195130.9847429702</v>
      </c>
    </row>
    <row r="49" spans="1:6">
      <c r="A49" s="348" t="s">
        <v>32</v>
      </c>
      <c r="B49" s="348" t="s">
        <v>40</v>
      </c>
      <c r="C49" s="334">
        <v>0</v>
      </c>
      <c r="D49" s="334">
        <v>0</v>
      </c>
      <c r="E49" s="334">
        <v>0</v>
      </c>
      <c r="F49" s="334">
        <v>0</v>
      </c>
    </row>
    <row r="50" spans="1:6">
      <c r="A50" s="348" t="s">
        <v>32</v>
      </c>
      <c r="B50" s="348" t="s">
        <v>41</v>
      </c>
      <c r="C50" s="334">
        <v>5</v>
      </c>
      <c r="D50" s="334">
        <v>413690.00386172498</v>
      </c>
      <c r="E50" s="334">
        <v>10</v>
      </c>
      <c r="F50" s="334">
        <v>289168.28987132403</v>
      </c>
    </row>
    <row r="51" spans="1:6">
      <c r="A51" s="348" t="s">
        <v>42</v>
      </c>
      <c r="B51" s="348" t="s">
        <v>43</v>
      </c>
      <c r="C51" s="334">
        <v>3</v>
      </c>
      <c r="D51" s="334">
        <v>43909.779737553399</v>
      </c>
      <c r="E51" s="334">
        <v>7</v>
      </c>
      <c r="F51" s="334">
        <v>39146.455962224099</v>
      </c>
    </row>
    <row r="52" spans="1:6">
      <c r="A52" s="348" t="s">
        <v>42</v>
      </c>
      <c r="B52" s="348" t="s">
        <v>29</v>
      </c>
      <c r="C52" s="334">
        <v>2</v>
      </c>
      <c r="D52" s="334">
        <v>13437.325904531501</v>
      </c>
      <c r="E52" s="334">
        <v>0</v>
      </c>
      <c r="F52" s="334">
        <v>0</v>
      </c>
    </row>
    <row r="53" spans="1:6">
      <c r="A53" s="348" t="s">
        <v>44</v>
      </c>
      <c r="B53" s="348" t="s">
        <v>45</v>
      </c>
      <c r="C53" s="334">
        <v>179</v>
      </c>
      <c r="D53" s="334">
        <v>3494323.6973205102</v>
      </c>
      <c r="E53" s="334">
        <v>372</v>
      </c>
      <c r="F53" s="334">
        <v>3456465.8652728298</v>
      </c>
    </row>
    <row r="54" spans="1:6">
      <c r="A54" s="348" t="s">
        <v>46</v>
      </c>
      <c r="B54" s="348" t="s">
        <v>47</v>
      </c>
      <c r="C54" s="334">
        <v>0</v>
      </c>
      <c r="D54" s="334">
        <v>0</v>
      </c>
      <c r="E54" s="334">
        <v>1</v>
      </c>
      <c r="F54" s="334">
        <v>1021266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2151686.8720157701</v>
      </c>
      <c r="E57" s="334">
        <v>66</v>
      </c>
      <c r="F57" s="334">
        <v>1118423.04760622</v>
      </c>
    </row>
    <row r="58" spans="1:6">
      <c r="A58" s="348" t="s">
        <v>49</v>
      </c>
      <c r="B58" s="348" t="s">
        <v>51</v>
      </c>
      <c r="C58" s="334">
        <v>29</v>
      </c>
      <c r="D58" s="334">
        <v>1139591.21743104</v>
      </c>
      <c r="E58" s="334">
        <v>36</v>
      </c>
      <c r="F58" s="334">
        <v>387409.07663204399</v>
      </c>
    </row>
    <row r="59" spans="1:6">
      <c r="A59" s="348" t="s">
        <v>49</v>
      </c>
      <c r="B59" s="348" t="s">
        <v>52</v>
      </c>
      <c r="C59" s="334">
        <v>92</v>
      </c>
      <c r="D59" s="334">
        <v>5638416.9720996302</v>
      </c>
      <c r="E59" s="334">
        <v>173</v>
      </c>
      <c r="F59" s="334">
        <v>5785474.6522770803</v>
      </c>
    </row>
    <row r="60" spans="1:6">
      <c r="A60" s="348" t="s">
        <v>49</v>
      </c>
      <c r="B60" s="348" t="s">
        <v>53</v>
      </c>
      <c r="C60" s="334">
        <v>49</v>
      </c>
      <c r="D60" s="334">
        <v>2373206.6177304201</v>
      </c>
      <c r="E60" s="334">
        <v>52</v>
      </c>
      <c r="F60" s="334">
        <v>1332081.02756727</v>
      </c>
    </row>
    <row r="61" spans="1:6">
      <c r="A61" s="348" t="s">
        <v>49</v>
      </c>
      <c r="B61" s="348" t="s">
        <v>54</v>
      </c>
      <c r="C61" s="334">
        <v>187</v>
      </c>
      <c r="D61" s="334">
        <v>17498510.856572598</v>
      </c>
      <c r="E61" s="334">
        <v>485</v>
      </c>
      <c r="F61" s="334">
        <v>5871732.6719925702</v>
      </c>
    </row>
    <row r="62" spans="1:6">
      <c r="A62" s="348" t="s">
        <v>49</v>
      </c>
      <c r="B62" s="348" t="s">
        <v>55</v>
      </c>
      <c r="C62" s="334">
        <v>16</v>
      </c>
      <c r="D62" s="334">
        <v>3749345.26831681</v>
      </c>
      <c r="E62" s="334">
        <v>15</v>
      </c>
      <c r="F62" s="334">
        <v>667946.57854396896</v>
      </c>
    </row>
    <row r="63" spans="1:6">
      <c r="A63" s="348" t="s">
        <v>49</v>
      </c>
      <c r="B63" s="348" t="s">
        <v>29</v>
      </c>
      <c r="C63" s="334">
        <v>86</v>
      </c>
      <c r="D63" s="334">
        <v>4191770.9868502798</v>
      </c>
      <c r="E63" s="334">
        <v>105</v>
      </c>
      <c r="F63" s="334">
        <v>3397956.8149426002</v>
      </c>
    </row>
    <row r="64" spans="1:6">
      <c r="A64" s="348" t="s">
        <v>56</v>
      </c>
      <c r="B64" s="348" t="s">
        <v>57</v>
      </c>
      <c r="C64" s="334">
        <v>0</v>
      </c>
      <c r="D64" s="334">
        <v>0</v>
      </c>
      <c r="E64" s="334">
        <v>0</v>
      </c>
      <c r="F64" s="334">
        <v>0</v>
      </c>
    </row>
    <row r="65" spans="1:6">
      <c r="A65" s="348" t="s">
        <v>56</v>
      </c>
      <c r="B65" s="348" t="s">
        <v>29</v>
      </c>
      <c r="C65" s="334">
        <v>1</v>
      </c>
      <c r="D65" s="334">
        <v>132362.18345075601</v>
      </c>
      <c r="E65" s="334">
        <v>1</v>
      </c>
      <c r="F65" s="334">
        <v>11873</v>
      </c>
    </row>
    <row r="66" spans="1:6">
      <c r="A66" s="348" t="s">
        <v>56</v>
      </c>
      <c r="B66" s="348" t="s">
        <v>58</v>
      </c>
      <c r="C66" s="334">
        <v>0</v>
      </c>
      <c r="D66" s="334">
        <v>0</v>
      </c>
      <c r="E66" s="334">
        <v>8</v>
      </c>
      <c r="F66" s="334">
        <v>286905.47881805903</v>
      </c>
    </row>
    <row r="67" spans="1:6">
      <c r="A67" s="355" t="s">
        <v>56</v>
      </c>
      <c r="B67" s="355" t="s">
        <v>59</v>
      </c>
      <c r="C67" s="334">
        <v>0</v>
      </c>
      <c r="D67" s="334">
        <v>0</v>
      </c>
      <c r="E67" s="334">
        <v>0</v>
      </c>
      <c r="F67" s="334">
        <v>0</v>
      </c>
    </row>
    <row r="68" spans="1:6">
      <c r="A68" s="341" t="s">
        <v>56</v>
      </c>
      <c r="B68" s="341" t="s">
        <v>60</v>
      </c>
      <c r="C68" s="334">
        <v>5</v>
      </c>
      <c r="D68" s="334">
        <v>103809.972439554</v>
      </c>
      <c r="E68" s="334">
        <v>5</v>
      </c>
      <c r="F68" s="334">
        <v>45848.674240080603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84060454</v>
      </c>
      <c r="E73" s="476">
        <v>84596391.079452053</v>
      </c>
    </row>
    <row r="74" spans="1:6">
      <c r="A74" s="348" t="s">
        <v>64</v>
      </c>
      <c r="B74" s="348" t="s">
        <v>657</v>
      </c>
      <c r="C74" s="1213" t="s">
        <v>659</v>
      </c>
      <c r="D74" s="476">
        <v>8836799.5709020402</v>
      </c>
      <c r="E74" s="476">
        <v>7461205.86668735</v>
      </c>
    </row>
    <row r="75" spans="1:6">
      <c r="A75" s="348" t="s">
        <v>65</v>
      </c>
      <c r="B75" s="348" t="s">
        <v>656</v>
      </c>
      <c r="C75" s="1213" t="s">
        <v>660</v>
      </c>
      <c r="D75" s="476">
        <v>15606672</v>
      </c>
      <c r="E75" s="476">
        <v>15703896.260144724</v>
      </c>
    </row>
    <row r="76" spans="1:6">
      <c r="A76" s="348" t="s">
        <v>65</v>
      </c>
      <c r="B76" s="348" t="s">
        <v>657</v>
      </c>
      <c r="C76" s="1213" t="s">
        <v>661</v>
      </c>
      <c r="D76" s="476">
        <v>1132069.5709020395</v>
      </c>
      <c r="E76" s="476">
        <v>919292.51005387306</v>
      </c>
    </row>
    <row r="77" spans="1:6">
      <c r="A77" s="348" t="s">
        <v>66</v>
      </c>
      <c r="B77" s="348" t="s">
        <v>656</v>
      </c>
      <c r="C77" s="1213" t="s">
        <v>662</v>
      </c>
      <c r="D77" s="476">
        <v>46560266</v>
      </c>
      <c r="E77" s="476">
        <v>49522253.834483288</v>
      </c>
    </row>
    <row r="78" spans="1:6">
      <c r="A78" s="341" t="s">
        <v>66</v>
      </c>
      <c r="B78" s="341" t="s">
        <v>657</v>
      </c>
      <c r="C78" s="341" t="s">
        <v>663</v>
      </c>
      <c r="D78" s="1214">
        <v>5214500</v>
      </c>
      <c r="E78" s="1214">
        <v>5337199.7854307061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567358.85819592094</v>
      </c>
      <c r="C83" s="476">
        <v>569855.93926388409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1223.6076833081306</v>
      </c>
    </row>
    <row r="92" spans="1:6">
      <c r="A92" s="341" t="s">
        <v>69</v>
      </c>
      <c r="B92" s="342">
        <v>5866.1418026368692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4674</v>
      </c>
    </row>
    <row r="98" spans="1:6">
      <c r="A98" s="348" t="s">
        <v>72</v>
      </c>
      <c r="B98" s="334">
        <v>13</v>
      </c>
    </row>
    <row r="99" spans="1:6">
      <c r="A99" s="348" t="s">
        <v>73</v>
      </c>
      <c r="B99" s="334">
        <v>21</v>
      </c>
    </row>
    <row r="100" spans="1:6">
      <c r="A100" s="348" t="s">
        <v>74</v>
      </c>
      <c r="B100" s="334">
        <v>762</v>
      </c>
    </row>
    <row r="101" spans="1:6">
      <c r="A101" s="348" t="s">
        <v>75</v>
      </c>
      <c r="B101" s="334">
        <v>30</v>
      </c>
    </row>
    <row r="102" spans="1:6">
      <c r="A102" s="348" t="s">
        <v>76</v>
      </c>
      <c r="B102" s="334">
        <v>150</v>
      </c>
    </row>
    <row r="103" spans="1:6">
      <c r="A103" s="348" t="s">
        <v>77</v>
      </c>
      <c r="B103" s="334">
        <v>71</v>
      </c>
    </row>
    <row r="104" spans="1:6">
      <c r="A104" s="348" t="s">
        <v>78</v>
      </c>
      <c r="B104" s="334">
        <v>811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9</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31</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51632.415826782795</v>
      </c>
      <c r="C3" s="43" t="s">
        <v>170</v>
      </c>
      <c r="D3" s="43"/>
      <c r="E3" s="154"/>
      <c r="F3" s="43"/>
      <c r="G3" s="43"/>
      <c r="H3" s="43"/>
      <c r="I3" s="43"/>
      <c r="J3" s="43"/>
      <c r="K3" s="96"/>
    </row>
    <row r="4" spans="1:11">
      <c r="A4" s="383" t="s">
        <v>171</v>
      </c>
      <c r="B4" s="49">
        <f>IF(ISERROR('SEAP template'!B69),0,'SEAP template'!B69)</f>
        <v>7089.7494859449998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0.19065405140735064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1021.266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1021.266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0.19065405140735064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194.70850046457934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24881.994992078402</v>
      </c>
      <c r="C5" s="17">
        <f>IF(ISERROR('Eigen informatie GS &amp; warmtenet'!B57),0,'Eigen informatie GS &amp; warmtenet'!B57)</f>
        <v>0</v>
      </c>
      <c r="D5" s="30">
        <f>(SUM(HH_hh_gas_kWh,HH_rest_gas_kWh)/1000)*0.902</f>
        <v>77910.747960587149</v>
      </c>
      <c r="E5" s="17">
        <f>B46*B57</f>
        <v>671.6119631721449</v>
      </c>
      <c r="F5" s="17">
        <f>B51*B62</f>
        <v>0</v>
      </c>
      <c r="G5" s="18"/>
      <c r="H5" s="17"/>
      <c r="I5" s="17"/>
      <c r="J5" s="17">
        <f>B50*B61+C50*C61</f>
        <v>0</v>
      </c>
      <c r="K5" s="17"/>
      <c r="L5" s="17"/>
      <c r="M5" s="17"/>
      <c r="N5" s="17">
        <f>B48*B59+C48*C59</f>
        <v>3269.7387299266102</v>
      </c>
      <c r="O5" s="17">
        <f>B69*B70*B71</f>
        <v>70.350000000000009</v>
      </c>
      <c r="P5" s="17">
        <f>B77*B78*B79/1000-B77*B78*B79/1000/B80</f>
        <v>610.13333333333333</v>
      </c>
    </row>
    <row r="6" spans="1:16">
      <c r="A6" s="16" t="s">
        <v>621</v>
      </c>
      <c r="B6" s="843">
        <f>kWh_PV_kleiner_dan_10kW</f>
        <v>1223.6076833081306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26105.602675386534</v>
      </c>
      <c r="C8" s="21">
        <f>C5</f>
        <v>0</v>
      </c>
      <c r="D8" s="21">
        <f>D5</f>
        <v>77910.747960587149</v>
      </c>
      <c r="E8" s="21">
        <f>E5</f>
        <v>671.6119631721449</v>
      </c>
      <c r="F8" s="21">
        <f>F5</f>
        <v>0</v>
      </c>
      <c r="G8" s="21"/>
      <c r="H8" s="21"/>
      <c r="I8" s="21"/>
      <c r="J8" s="21">
        <f>J5</f>
        <v>0</v>
      </c>
      <c r="K8" s="21"/>
      <c r="L8" s="21">
        <f>L5</f>
        <v>0</v>
      </c>
      <c r="M8" s="21">
        <f>M5</f>
        <v>0</v>
      </c>
      <c r="N8" s="21">
        <f>N5</f>
        <v>3269.7387299266102</v>
      </c>
      <c r="O8" s="21">
        <f>O5</f>
        <v>70.350000000000009</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0.19065405140735064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4977.1389144930145</v>
      </c>
      <c r="C12" s="23">
        <f ca="1">C10*C8</f>
        <v>0</v>
      </c>
      <c r="D12" s="23">
        <f>D8*D10</f>
        <v>15737.971088038605</v>
      </c>
      <c r="E12" s="23">
        <f>E10*E8</f>
        <v>152.45591564007691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4674</v>
      </c>
      <c r="C18" s="166" t="s">
        <v>111</v>
      </c>
      <c r="D18" s="228"/>
      <c r="E18" s="15"/>
    </row>
    <row r="19" spans="1:7">
      <c r="A19" s="171" t="s">
        <v>72</v>
      </c>
      <c r="B19" s="37">
        <f>aantalw2001_ander</f>
        <v>13</v>
      </c>
      <c r="C19" s="166" t="s">
        <v>111</v>
      </c>
      <c r="D19" s="229"/>
      <c r="E19" s="15"/>
    </row>
    <row r="20" spans="1:7">
      <c r="A20" s="171" t="s">
        <v>73</v>
      </c>
      <c r="B20" s="37">
        <f>aantalw2001_propaan</f>
        <v>21</v>
      </c>
      <c r="C20" s="167">
        <f>IF(ISERROR(B20/SUM($B$20,$B$21,$B$22)*100),0,B20/SUM($B$20,$B$21,$B$22)*100)</f>
        <v>2.5830258302583027</v>
      </c>
      <c r="D20" s="229"/>
      <c r="E20" s="15"/>
    </row>
    <row r="21" spans="1:7">
      <c r="A21" s="171" t="s">
        <v>74</v>
      </c>
      <c r="B21" s="37">
        <f>aantalw2001_elektriciteit</f>
        <v>762</v>
      </c>
      <c r="C21" s="167">
        <f>IF(ISERROR(B21/SUM($B$20,$B$21,$B$22)*100),0,B21/SUM($B$20,$B$21,$B$22)*100)</f>
        <v>93.726937269372684</v>
      </c>
      <c r="D21" s="229"/>
      <c r="E21" s="15"/>
    </row>
    <row r="22" spans="1:7">
      <c r="A22" s="171" t="s">
        <v>75</v>
      </c>
      <c r="B22" s="37">
        <f>aantalw2001_hout</f>
        <v>30</v>
      </c>
      <c r="C22" s="167">
        <f>IF(ISERROR(B22/SUM($B$20,$B$21,$B$22)*100),0,B22/SUM($B$20,$B$21,$B$22)*100)</f>
        <v>3.6900369003690034</v>
      </c>
      <c r="D22" s="229"/>
      <c r="E22" s="15"/>
    </row>
    <row r="23" spans="1:7">
      <c r="A23" s="171" t="s">
        <v>76</v>
      </c>
      <c r="B23" s="37">
        <f>aantalw2001_niet_gespec</f>
        <v>150</v>
      </c>
      <c r="C23" s="166" t="s">
        <v>111</v>
      </c>
      <c r="D23" s="228"/>
      <c r="E23" s="15"/>
    </row>
    <row r="24" spans="1:7">
      <c r="A24" s="171" t="s">
        <v>77</v>
      </c>
      <c r="B24" s="37">
        <f>aantalw2001_steenkool</f>
        <v>71</v>
      </c>
      <c r="C24" s="166" t="s">
        <v>111</v>
      </c>
      <c r="D24" s="229"/>
      <c r="E24" s="15"/>
    </row>
    <row r="25" spans="1:7">
      <c r="A25" s="171" t="s">
        <v>78</v>
      </c>
      <c r="B25" s="37">
        <f>aantalw2001_stookolie</f>
        <v>811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7397</v>
      </c>
      <c r="C28" s="36"/>
      <c r="D28" s="228"/>
    </row>
    <row r="29" spans="1:7" s="15" customFormat="1">
      <c r="A29" s="230" t="s">
        <v>795</v>
      </c>
      <c r="B29" s="37">
        <f>SUM(HH_hh_gas_aantal,HH_rest_gas_aantal)</f>
        <v>6137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6137</v>
      </c>
      <c r="C32" s="167">
        <f>IF(ISERROR(B32/SUM($B$32,$B$34,$B$35,$B$36,$B$38,$B$39)*100),0,B32/SUM($B$32,$B$34,$B$35,$B$36,$B$38,$B$39)*100)</f>
        <v>83.326544467074001</v>
      </c>
      <c r="D32" s="233"/>
      <c r="G32" s="15"/>
    </row>
    <row r="33" spans="1:7">
      <c r="A33" s="171" t="s">
        <v>72</v>
      </c>
      <c r="B33" s="34" t="s">
        <v>111</v>
      </c>
      <c r="C33" s="167"/>
      <c r="D33" s="233"/>
      <c r="G33" s="15"/>
    </row>
    <row r="34" spans="1:7">
      <c r="A34" s="171" t="s">
        <v>73</v>
      </c>
      <c r="B34" s="33">
        <f>IF((($B$28-$B$32-$B$39-$B$77-$B$38)*C20/100)&lt;0,0,($B$28-$B$32-$B$39-$B$77-$B$38)*C20/100)</f>
        <v>31.719557195571955</v>
      </c>
      <c r="C34" s="167">
        <f>IF(ISERROR(B34/SUM($B$32,$B$34,$B$35,$B$36,$B$38,$B$39)*100),0,B34/SUM($B$32,$B$34,$B$35,$B$36,$B$38,$B$39)*100)</f>
        <v>0.43067966321211071</v>
      </c>
      <c r="D34" s="233"/>
      <c r="G34" s="15"/>
    </row>
    <row r="35" spans="1:7">
      <c r="A35" s="171" t="s">
        <v>74</v>
      </c>
      <c r="B35" s="33">
        <f>IF((($B$28-$B$32-$B$39-$B$77-$B$38)*C21/100)&lt;0,0,($B$28-$B$32-$B$39-$B$77-$B$38)*C21/100)</f>
        <v>1150.9667896678966</v>
      </c>
      <c r="C35" s="167">
        <f>IF(ISERROR(B35/SUM($B$32,$B$34,$B$35,$B$36,$B$38,$B$39)*100),0,B35/SUM($B$32,$B$34,$B$35,$B$36,$B$38,$B$39)*100)</f>
        <v>15.627519207982301</v>
      </c>
      <c r="D35" s="233"/>
      <c r="G35" s="15"/>
    </row>
    <row r="36" spans="1:7">
      <c r="A36" s="171" t="s">
        <v>75</v>
      </c>
      <c r="B36" s="33">
        <f>IF((($B$28-$B$32-$B$39-$B$77-$B$38)*C22/100)&lt;0,0,($B$28-$B$32-$B$39-$B$77-$B$38)*C22/100)</f>
        <v>45.313653136531364</v>
      </c>
      <c r="C36" s="167">
        <f>IF(ISERROR(B36/SUM($B$32,$B$34,$B$35,$B$36,$B$38,$B$39)*100),0,B36/SUM($B$32,$B$34,$B$35,$B$36,$B$38,$B$39)*100)</f>
        <v>0.61525666173158677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6137</v>
      </c>
      <c r="C44" s="34" t="s">
        <v>111</v>
      </c>
      <c r="D44" s="174"/>
    </row>
    <row r="45" spans="1:7">
      <c r="A45" s="171" t="s">
        <v>72</v>
      </c>
      <c r="B45" s="33" t="str">
        <f t="shared" si="0"/>
        <v>-</v>
      </c>
      <c r="C45" s="34" t="s">
        <v>111</v>
      </c>
      <c r="D45" s="174"/>
    </row>
    <row r="46" spans="1:7">
      <c r="A46" s="171" t="s">
        <v>73</v>
      </c>
      <c r="B46" s="33">
        <f t="shared" si="0"/>
        <v>31.719557195571955</v>
      </c>
      <c r="C46" s="34" t="s">
        <v>111</v>
      </c>
      <c r="D46" s="174"/>
    </row>
    <row r="47" spans="1:7">
      <c r="A47" s="171" t="s">
        <v>74</v>
      </c>
      <c r="B47" s="33">
        <f t="shared" si="0"/>
        <v>1150.9667896678966</v>
      </c>
      <c r="C47" s="34" t="s">
        <v>111</v>
      </c>
      <c r="D47" s="174"/>
    </row>
    <row r="48" spans="1:7">
      <c r="A48" s="171" t="s">
        <v>75</v>
      </c>
      <c r="B48" s="33">
        <f t="shared" si="0"/>
        <v>45.313653136531364</v>
      </c>
      <c r="C48" s="33">
        <f>B48*10</f>
        <v>453.13653136531366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18561.023869561755</v>
      </c>
      <c r="C5" s="17">
        <f>IF(ISERROR('Eigen informatie GS &amp; warmtenet'!B58),0,'Eigen informatie GS &amp; warmtenet'!B58)</f>
        <v>0</v>
      </c>
      <c r="D5" s="30">
        <f>SUM(D6:D12)</f>
        <v>33141.760969496929</v>
      </c>
      <c r="E5" s="17">
        <f>SUM(E6:E12)</f>
        <v>282.58181448431333</v>
      </c>
      <c r="F5" s="17">
        <f>SUM(F6:F12)</f>
        <v>3220.1892934767448</v>
      </c>
      <c r="G5" s="18"/>
      <c r="H5" s="17"/>
      <c r="I5" s="17"/>
      <c r="J5" s="17">
        <f>SUM(J6:J12)</f>
        <v>3.2504818446220211E-2</v>
      </c>
      <c r="K5" s="17"/>
      <c r="L5" s="17"/>
      <c r="M5" s="17"/>
      <c r="N5" s="17">
        <f>SUM(N6:N12)</f>
        <v>1300.6485999498686</v>
      </c>
      <c r="O5" s="17">
        <f>B38*B39*B40</f>
        <v>1.5633333333333335</v>
      </c>
      <c r="P5" s="17">
        <f>B46*B47*B48/1000-B46*B47*B48/1000/B49</f>
        <v>0</v>
      </c>
      <c r="R5" s="32"/>
    </row>
    <row r="6" spans="1:18">
      <c r="A6" s="32" t="s">
        <v>54</v>
      </c>
      <c r="B6" s="37">
        <f>B26</f>
        <v>5871.7326719925704</v>
      </c>
      <c r="C6" s="33"/>
      <c r="D6" s="37">
        <f>IF(ISERROR(TER_kantoor_gas_kWh/1000),0,TER_kantoor_gas_kWh/1000)*0.902</f>
        <v>15783.656792628482</v>
      </c>
      <c r="E6" s="33">
        <f>$C$26*'E Balans VL '!I12/100/3.6*1000000</f>
        <v>3.6802067480357782E-2</v>
      </c>
      <c r="F6" s="33">
        <f>$C$26*('E Balans VL '!L12+'E Balans VL '!N12)/100/3.6*1000000</f>
        <v>882.35734874147749</v>
      </c>
      <c r="G6" s="34"/>
      <c r="H6" s="33"/>
      <c r="I6" s="33"/>
      <c r="J6" s="33">
        <f>$C$26*('E Balans VL '!D12+'E Balans VL '!E12)/100/3.6*1000000</f>
        <v>0</v>
      </c>
      <c r="K6" s="33"/>
      <c r="L6" s="33"/>
      <c r="M6" s="33"/>
      <c r="N6" s="33">
        <f>$C$26*'E Balans VL '!Y12/100/3.6*1000000</f>
        <v>5.6154417208512051</v>
      </c>
      <c r="O6" s="33"/>
      <c r="P6" s="33"/>
      <c r="R6" s="32"/>
    </row>
    <row r="7" spans="1:18">
      <c r="A7" s="32" t="s">
        <v>53</v>
      </c>
      <c r="B7" s="37">
        <f t="shared" ref="B7:B12" si="0">B27</f>
        <v>1332.08102756727</v>
      </c>
      <c r="C7" s="33"/>
      <c r="D7" s="37">
        <f>IF(ISERROR(TER_horeca_gas_kWh/1000),0,TER_horeca_gas_kWh/1000)*0.902</f>
        <v>2140.6323691928387</v>
      </c>
      <c r="E7" s="33">
        <f>$C$27*'E Balans VL '!I9/100/3.6*1000000</f>
        <v>19.075178432421033</v>
      </c>
      <c r="F7" s="33">
        <f>$C$27*('E Balans VL '!L9+'E Balans VL '!N9)/100/3.6*1000000</f>
        <v>168.68539181489027</v>
      </c>
      <c r="G7" s="34"/>
      <c r="H7" s="33"/>
      <c r="I7" s="33"/>
      <c r="J7" s="33">
        <f>$C$27*('E Balans VL '!D9+'E Balans VL '!E9)/100/3.6*1000000</f>
        <v>0</v>
      </c>
      <c r="K7" s="33"/>
      <c r="L7" s="33"/>
      <c r="M7" s="33"/>
      <c r="N7" s="33">
        <f>$C$27*'E Balans VL '!Y9/100/3.6*1000000</f>
        <v>0.38294392556003176</v>
      </c>
      <c r="O7" s="33"/>
      <c r="P7" s="33"/>
      <c r="R7" s="32"/>
    </row>
    <row r="8" spans="1:18">
      <c r="A8" s="6" t="s">
        <v>52</v>
      </c>
      <c r="B8" s="37">
        <f t="shared" si="0"/>
        <v>5785.4746522770802</v>
      </c>
      <c r="C8" s="33"/>
      <c r="D8" s="37">
        <f>IF(ISERROR(TER_handel_gas_kWh/1000),0,TER_handel_gas_kWh/1000)*0.902</f>
        <v>5085.8521088338666</v>
      </c>
      <c r="E8" s="33">
        <f>$C$28*'E Balans VL '!I13/100/3.6*1000000</f>
        <v>209.83845220531842</v>
      </c>
      <c r="F8" s="33">
        <f>$C$28*('E Balans VL '!L13+'E Balans VL '!N13)/100/3.6*1000000</f>
        <v>1114.340999683925</v>
      </c>
      <c r="G8" s="34"/>
      <c r="H8" s="33"/>
      <c r="I8" s="33"/>
      <c r="J8" s="33">
        <f>$C$28*('E Balans VL '!D13+'E Balans VL '!E13)/100/3.6*1000000</f>
        <v>0</v>
      </c>
      <c r="K8" s="33"/>
      <c r="L8" s="33"/>
      <c r="M8" s="33"/>
      <c r="N8" s="33">
        <f>$C$28*'E Balans VL '!Y13/100/3.6*1000000</f>
        <v>8.0142135717524656</v>
      </c>
      <c r="O8" s="33"/>
      <c r="P8" s="33"/>
      <c r="R8" s="32"/>
    </row>
    <row r="9" spans="1:18">
      <c r="A9" s="32" t="s">
        <v>51</v>
      </c>
      <c r="B9" s="37">
        <f t="shared" si="0"/>
        <v>387.40907663204399</v>
      </c>
      <c r="C9" s="33"/>
      <c r="D9" s="37">
        <f>IF(ISERROR(TER_gezond_gas_kWh/1000),0,TER_gezond_gas_kWh/1000)*0.902</f>
        <v>1027.911278122798</v>
      </c>
      <c r="E9" s="33">
        <f>$C$29*'E Balans VL '!I10/100/3.6*1000000</f>
        <v>2.4255633170776263E-2</v>
      </c>
      <c r="F9" s="33">
        <f>$C$29*('E Balans VL '!L10+'E Balans VL '!N10)/100/3.6*1000000</f>
        <v>57.550797881994256</v>
      </c>
      <c r="G9" s="34"/>
      <c r="H9" s="33"/>
      <c r="I9" s="33"/>
      <c r="J9" s="33">
        <f>$C$29*('E Balans VL '!D10+'E Balans VL '!E10)/100/3.6*1000000</f>
        <v>0</v>
      </c>
      <c r="K9" s="33"/>
      <c r="L9" s="33"/>
      <c r="M9" s="33"/>
      <c r="N9" s="33">
        <f>$C$29*'E Balans VL '!Y10/100/3.6*1000000</f>
        <v>5.9924809791249505</v>
      </c>
      <c r="O9" s="33"/>
      <c r="P9" s="33"/>
      <c r="R9" s="32"/>
    </row>
    <row r="10" spans="1:18">
      <c r="A10" s="32" t="s">
        <v>50</v>
      </c>
      <c r="B10" s="37">
        <f t="shared" si="0"/>
        <v>1118.4230476062201</v>
      </c>
      <c r="C10" s="33"/>
      <c r="D10" s="37">
        <f>IF(ISERROR(TER_ander_gas_kWh/1000),0,TER_ander_gas_kWh/1000)*0.902</f>
        <v>1940.8215585582245</v>
      </c>
      <c r="E10" s="33">
        <f>$C$30*'E Balans VL '!I14/100/3.6*1000000</f>
        <v>1.3331203070599071</v>
      </c>
      <c r="F10" s="33">
        <f>$C$30*('E Balans VL '!L14+'E Balans VL '!N14)/100/3.6*1000000</f>
        <v>292.6291904372257</v>
      </c>
      <c r="G10" s="34"/>
      <c r="H10" s="33"/>
      <c r="I10" s="33"/>
      <c r="J10" s="33">
        <f>$C$30*('E Balans VL '!D14+'E Balans VL '!E14)/100/3.6*1000000</f>
        <v>2.427658026623793E-2</v>
      </c>
      <c r="K10" s="33"/>
      <c r="L10" s="33"/>
      <c r="M10" s="33"/>
      <c r="N10" s="33">
        <f>$C$30*'E Balans VL '!Y14/100/3.6*1000000</f>
        <v>949.73748460045101</v>
      </c>
      <c r="O10" s="33"/>
      <c r="P10" s="33"/>
      <c r="R10" s="32"/>
    </row>
    <row r="11" spans="1:18">
      <c r="A11" s="32" t="s">
        <v>55</v>
      </c>
      <c r="B11" s="37">
        <f t="shared" si="0"/>
        <v>667.94657854396894</v>
      </c>
      <c r="C11" s="33"/>
      <c r="D11" s="37">
        <f>IF(ISERROR(TER_onderwijs_gas_kWh/1000),0,TER_onderwijs_gas_kWh/1000)*0.902</f>
        <v>3381.9094320217628</v>
      </c>
      <c r="E11" s="33">
        <f>$C$31*'E Balans VL '!I11/100/3.6*1000000</f>
        <v>10.078238039963374</v>
      </c>
      <c r="F11" s="33">
        <f>$C$31*('E Balans VL '!L11+'E Balans VL '!N11)/100/3.6*1000000</f>
        <v>117.03491132494726</v>
      </c>
      <c r="G11" s="34"/>
      <c r="H11" s="33"/>
      <c r="I11" s="33"/>
      <c r="J11" s="33">
        <f>$C$31*('E Balans VL '!D11+'E Balans VL '!E11)/100/3.6*1000000</f>
        <v>0</v>
      </c>
      <c r="K11" s="33"/>
      <c r="L11" s="33"/>
      <c r="M11" s="33"/>
      <c r="N11" s="33">
        <f>$C$31*'E Balans VL '!Y11/100/3.6*1000000</f>
        <v>1.8796524512553978</v>
      </c>
      <c r="O11" s="33"/>
      <c r="P11" s="33"/>
      <c r="R11" s="32"/>
    </row>
    <row r="12" spans="1:18">
      <c r="A12" s="32" t="s">
        <v>260</v>
      </c>
      <c r="B12" s="37">
        <f t="shared" si="0"/>
        <v>3397.9568149426004</v>
      </c>
      <c r="C12" s="33"/>
      <c r="D12" s="37">
        <f>IF(ISERROR(TER_rest_gas_kWh/1000),0,TER_rest_gas_kWh/1000)*0.902</f>
        <v>3780.9774301389525</v>
      </c>
      <c r="E12" s="33">
        <f>$C$32*'E Balans VL '!I8/100/3.6*1000000</f>
        <v>42.195767798899446</v>
      </c>
      <c r="F12" s="33">
        <f>$C$32*('E Balans VL '!L8+'E Balans VL '!N8)/100/3.6*1000000</f>
        <v>587.59065359228487</v>
      </c>
      <c r="G12" s="34"/>
      <c r="H12" s="33"/>
      <c r="I12" s="33"/>
      <c r="J12" s="33">
        <f>$C$32*('E Balans VL '!D8+'E Balans VL '!E8)/100/3.6*1000000</f>
        <v>8.2282381799822831E-3</v>
      </c>
      <c r="K12" s="33"/>
      <c r="L12" s="33"/>
      <c r="M12" s="33"/>
      <c r="N12" s="33">
        <f>$C$32*'E Balans VL '!Y8/100/3.6*1000000</f>
        <v>329.02638270087368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18561.023869561755</v>
      </c>
      <c r="C16" s="21">
        <f t="shared" ca="1" si="1"/>
        <v>0</v>
      </c>
      <c r="D16" s="21">
        <f t="shared" ca="1" si="1"/>
        <v>33141.760969496929</v>
      </c>
      <c r="E16" s="21">
        <f t="shared" si="1"/>
        <v>282.58181448431333</v>
      </c>
      <c r="F16" s="21">
        <f t="shared" ca="1" si="1"/>
        <v>3220.1892934767448</v>
      </c>
      <c r="G16" s="21">
        <f t="shared" si="1"/>
        <v>0</v>
      </c>
      <c r="H16" s="21">
        <f t="shared" si="1"/>
        <v>0</v>
      </c>
      <c r="I16" s="21">
        <f t="shared" si="1"/>
        <v>0</v>
      </c>
      <c r="J16" s="21">
        <f t="shared" si="1"/>
        <v>3.2504818446220211E-2</v>
      </c>
      <c r="K16" s="21">
        <f t="shared" si="1"/>
        <v>0</v>
      </c>
      <c r="L16" s="21">
        <f t="shared" ca="1" si="1"/>
        <v>0</v>
      </c>
      <c r="M16" s="21">
        <f t="shared" si="1"/>
        <v>0</v>
      </c>
      <c r="N16" s="21">
        <f t="shared" ca="1" si="1"/>
        <v>1300.6485999498686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0.19065405140735064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3538.7343990004892</v>
      </c>
      <c r="C20" s="23">
        <f t="shared" ref="C20:P20" ca="1" si="2">C16*C18</f>
        <v>0</v>
      </c>
      <c r="D20" s="23">
        <f t="shared" ca="1" si="2"/>
        <v>6694.6357158383798</v>
      </c>
      <c r="E20" s="23">
        <f t="shared" si="2"/>
        <v>64.146071887939129</v>
      </c>
      <c r="F20" s="23">
        <f t="shared" ca="1" si="2"/>
        <v>859.79054135829085</v>
      </c>
      <c r="G20" s="23">
        <f t="shared" si="2"/>
        <v>0</v>
      </c>
      <c r="H20" s="23">
        <f t="shared" si="2"/>
        <v>0</v>
      </c>
      <c r="I20" s="23">
        <f t="shared" si="2"/>
        <v>0</v>
      </c>
      <c r="J20" s="23">
        <f t="shared" si="2"/>
        <v>1.1506705729961954E-2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5871.7326719925704</v>
      </c>
      <c r="C26" s="39">
        <f>IF(ISERROR(B26*3.6/1000000/'E Balans VL '!Z12*100),0,B26*3.6/1000000/'E Balans VL '!Z12*100)</f>
        <v>0.12411912711003507</v>
      </c>
      <c r="D26" s="237" t="s">
        <v>754</v>
      </c>
      <c r="F26" s="6"/>
    </row>
    <row r="27" spans="1:18">
      <c r="A27" s="231" t="s">
        <v>53</v>
      </c>
      <c r="B27" s="33">
        <f>IF(ISERROR(TER_horeca_ele_kWh/1000),0,TER_horeca_ele_kWh/1000)</f>
        <v>1332.08102756727</v>
      </c>
      <c r="C27" s="39">
        <f>IF(ISERROR(B27*3.6/1000000/'E Balans VL '!Z9*100),0,B27*3.6/1000000/'E Balans VL '!Z9*100)</f>
        <v>0.10500745091118209</v>
      </c>
      <c r="D27" s="237" t="s">
        <v>754</v>
      </c>
      <c r="F27" s="6"/>
    </row>
    <row r="28" spans="1:18">
      <c r="A28" s="171" t="s">
        <v>52</v>
      </c>
      <c r="B28" s="33">
        <f>IF(ISERROR(TER_handel_ele_kWh/1000),0,TER_handel_ele_kWh/1000)</f>
        <v>5785.4746522770802</v>
      </c>
      <c r="C28" s="39">
        <f>IF(ISERROR(B28*3.6/1000000/'E Balans VL '!Z13*100),0,B28*3.6/1000000/'E Balans VL '!Z13*100)</f>
        <v>0.16791785034609247</v>
      </c>
      <c r="D28" s="237" t="s">
        <v>754</v>
      </c>
      <c r="F28" s="6"/>
    </row>
    <row r="29" spans="1:18">
      <c r="A29" s="231" t="s">
        <v>51</v>
      </c>
      <c r="B29" s="33">
        <f>IF(ISERROR(TER_gezond_ele_kWh/1000),0,TER_gezond_ele_kWh/1000)</f>
        <v>387.40907663204399</v>
      </c>
      <c r="C29" s="39">
        <f>IF(ISERROR(B29*3.6/1000000/'E Balans VL '!Z10*100),0,B29*3.6/1000000/'E Balans VL '!Z10*100)</f>
        <v>4.0800537194309566E-2</v>
      </c>
      <c r="D29" s="237" t="s">
        <v>754</v>
      </c>
      <c r="F29" s="6"/>
    </row>
    <row r="30" spans="1:18">
      <c r="A30" s="231" t="s">
        <v>50</v>
      </c>
      <c r="B30" s="33">
        <f>IF(ISERROR(TER_ander_ele_kWh/1000),0,TER_ander_ele_kWh/1000)</f>
        <v>1118.4230476062201</v>
      </c>
      <c r="C30" s="39">
        <f>IF(ISERROR(B30*3.6/1000000/'E Balans VL '!Z14*100),0,B30*3.6/1000000/'E Balans VL '!Z14*100)</f>
        <v>8.2495126911712346E-2</v>
      </c>
      <c r="D30" s="237" t="s">
        <v>754</v>
      </c>
      <c r="F30" s="6"/>
    </row>
    <row r="31" spans="1:18">
      <c r="A31" s="231" t="s">
        <v>55</v>
      </c>
      <c r="B31" s="33">
        <f>IF(ISERROR(TER_onderwijs_ele_kWh/1000),0,TER_onderwijs_ele_kWh/1000)</f>
        <v>667.94657854396894</v>
      </c>
      <c r="C31" s="39">
        <f>IF(ISERROR(B31*3.6/1000000/'E Balans VL '!Z11*100),0,B31*3.6/1000000/'E Balans VL '!Z11*100)</f>
        <v>0.16588242391284835</v>
      </c>
      <c r="D31" s="237" t="s">
        <v>754</v>
      </c>
    </row>
    <row r="32" spans="1:18">
      <c r="A32" s="231" t="s">
        <v>260</v>
      </c>
      <c r="B32" s="33">
        <f>IF(ISERROR(TER_rest_ele_kWh/1000),0,TER_rest_ele_kWh/1000)</f>
        <v>3397.9568149426004</v>
      </c>
      <c r="C32" s="39">
        <f>IF(ISERROR(B32*3.6/1000000/'E Balans VL '!Z8*100),0,B32*3.6/1000000/'E Balans VL '!Z8*100)</f>
        <v>2.7960674257792625E-2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5847.8504853392969</v>
      </c>
      <c r="C5" s="17">
        <f>IF(ISERROR('Eigen informatie GS &amp; warmtenet'!B59),0,'Eigen informatie GS &amp; warmtenet'!B59)</f>
        <v>0</v>
      </c>
      <c r="D5" s="30">
        <f>SUM(D6:D15)</f>
        <v>4291.32921631919</v>
      </c>
      <c r="E5" s="17">
        <f>SUM(E6:E15)</f>
        <v>397.88753432262189</v>
      </c>
      <c r="F5" s="17">
        <f>SUM(F6:F15)</f>
        <v>1361.0031083562749</v>
      </c>
      <c r="G5" s="18"/>
      <c r="H5" s="17"/>
      <c r="I5" s="17"/>
      <c r="J5" s="17">
        <f>SUM(J6:J15)</f>
        <v>15.018489152330604</v>
      </c>
      <c r="K5" s="17"/>
      <c r="L5" s="17"/>
      <c r="M5" s="17"/>
      <c r="N5" s="17">
        <f>SUM(N6:N15)</f>
        <v>1151.4011990486549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822.79741858963007</v>
      </c>
      <c r="C8" s="33"/>
      <c r="D8" s="37">
        <f>IF( ISERROR(IND_metaal_Gas_kWH/1000),0,IND_metaal_Gas_kWH/1000)*0.902</f>
        <v>0</v>
      </c>
      <c r="E8" s="33">
        <f>C30*'E Balans VL '!I18/100/3.6*1000000</f>
        <v>7.5648275986274838</v>
      </c>
      <c r="F8" s="33">
        <f>C30*'E Balans VL '!L18/100/3.6*1000000+C30*'E Balans VL '!N18/100/3.6*1000000</f>
        <v>77.151004164726643</v>
      </c>
      <c r="G8" s="34"/>
      <c r="H8" s="33"/>
      <c r="I8" s="33"/>
      <c r="J8" s="40">
        <f>C30*'E Balans VL '!D18/100/3.6*1000000+C30*'E Balans VL '!E18/100/3.6*1000000</f>
        <v>0</v>
      </c>
      <c r="K8" s="33"/>
      <c r="L8" s="33"/>
      <c r="M8" s="33"/>
      <c r="N8" s="33">
        <f>C30*'E Balans VL '!Y18/100/3.6*1000000</f>
        <v>11.738564906174945</v>
      </c>
      <c r="O8" s="33"/>
      <c r="P8" s="33"/>
      <c r="R8" s="32"/>
    </row>
    <row r="9" spans="1:18">
      <c r="A9" s="6" t="s">
        <v>33</v>
      </c>
      <c r="B9" s="37">
        <f t="shared" si="0"/>
        <v>540.75379213537303</v>
      </c>
      <c r="C9" s="33"/>
      <c r="D9" s="37">
        <f>IF( ISERROR(IND_andere_gas_kWh/1000),0,IND_andere_gas_kWh/1000)*0.902</f>
        <v>1133.9755696658863</v>
      </c>
      <c r="E9" s="33">
        <f>C31*'E Balans VL '!I19/100/3.6*1000000</f>
        <v>158.07286067582226</v>
      </c>
      <c r="F9" s="33">
        <f>C31*'E Balans VL '!L19/100/3.6*1000000+C31*'E Balans VL '!N19/100/3.6*1000000</f>
        <v>434.5366032818265</v>
      </c>
      <c r="G9" s="34"/>
      <c r="H9" s="33"/>
      <c r="I9" s="33"/>
      <c r="J9" s="40">
        <f>C31*'E Balans VL '!D19/100/3.6*1000000+C31*'E Balans VL '!E19/100/3.6*1000000</f>
        <v>0</v>
      </c>
      <c r="K9" s="33"/>
      <c r="L9" s="33"/>
      <c r="M9" s="33"/>
      <c r="N9" s="33">
        <f>C31*'E Balans VL '!Y19/100/3.6*1000000</f>
        <v>178.67343941824018</v>
      </c>
      <c r="O9" s="33"/>
      <c r="P9" s="33"/>
      <c r="R9" s="32"/>
    </row>
    <row r="10" spans="1:18">
      <c r="A10" s="6" t="s">
        <v>41</v>
      </c>
      <c r="B10" s="37">
        <f t="shared" si="0"/>
        <v>289.16828987132402</v>
      </c>
      <c r="C10" s="33"/>
      <c r="D10" s="37">
        <f>IF( ISERROR(IND_voed_gas_kWh/1000),0,IND_voed_gas_kWh/1000)*0.902</f>
        <v>373.14838348327595</v>
      </c>
      <c r="E10" s="33">
        <f>C32*'E Balans VL '!I20/100/3.6*1000000</f>
        <v>0.61174000083022362</v>
      </c>
      <c r="F10" s="33">
        <f>C32*'E Balans VL '!L20/100/3.6*1000000+C32*'E Balans VL '!N20/100/3.6*1000000</f>
        <v>18.385615246765095</v>
      </c>
      <c r="G10" s="34"/>
      <c r="H10" s="33"/>
      <c r="I10" s="33"/>
      <c r="J10" s="40">
        <f>C32*'E Balans VL '!D20/100/3.6*1000000+C32*'E Balans VL '!E20/100/3.6*1000000</f>
        <v>0</v>
      </c>
      <c r="K10" s="33"/>
      <c r="L10" s="33"/>
      <c r="M10" s="33"/>
      <c r="N10" s="33">
        <f>C32*'E Balans VL '!Y20/100/3.6*1000000</f>
        <v>19.9554655835319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4195.1309847429702</v>
      </c>
      <c r="C15" s="33"/>
      <c r="D15" s="37">
        <f>IF( ISERROR(IND_rest_gas_kWh/1000),0,IND_rest_gas_kWh/1000)*0.902</f>
        <v>2784.2052631700276</v>
      </c>
      <c r="E15" s="33">
        <f>C37*'E Balans VL '!I15/100/3.6*1000000</f>
        <v>231.63810604734192</v>
      </c>
      <c r="F15" s="33">
        <f>C37*'E Balans VL '!L15/100/3.6*1000000+C37*'E Balans VL '!N15/100/3.6*1000000</f>
        <v>830.92988566295662</v>
      </c>
      <c r="G15" s="34"/>
      <c r="H15" s="33"/>
      <c r="I15" s="33"/>
      <c r="J15" s="40">
        <f>C37*'E Balans VL '!D15/100/3.6*1000000+C37*'E Balans VL '!E15/100/3.6*1000000</f>
        <v>15.018489152330604</v>
      </c>
      <c r="K15" s="33"/>
      <c r="L15" s="33"/>
      <c r="M15" s="33"/>
      <c r="N15" s="33">
        <f>C37*'E Balans VL '!Y15/100/3.6*1000000</f>
        <v>941.03372914070781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5847.8504853392969</v>
      </c>
      <c r="C18" s="21">
        <f>C5+C16</f>
        <v>0</v>
      </c>
      <c r="D18" s="21">
        <f>MAX((D5+D16),0)</f>
        <v>4291.32921631919</v>
      </c>
      <c r="E18" s="21">
        <f>MAX((E5+E16),0)</f>
        <v>397.88753432262189</v>
      </c>
      <c r="F18" s="21">
        <f>MAX((F5+F16),0)</f>
        <v>1361.0031083562749</v>
      </c>
      <c r="G18" s="21"/>
      <c r="H18" s="21"/>
      <c r="I18" s="21"/>
      <c r="J18" s="21">
        <f>MAX((J5+J16),0)</f>
        <v>15.018489152330604</v>
      </c>
      <c r="K18" s="21"/>
      <c r="L18" s="21">
        <f>MAX((L5+L16),0)</f>
        <v>0</v>
      </c>
      <c r="M18" s="21"/>
      <c r="N18" s="21">
        <f>MAX((N5+N16),0)</f>
        <v>1151.4011990486549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0.19065405140735064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1114.9163870543787</v>
      </c>
      <c r="C22" s="23">
        <f ca="1">C18*C20</f>
        <v>0</v>
      </c>
      <c r="D22" s="23">
        <f>D18*D20</f>
        <v>866.84850169647643</v>
      </c>
      <c r="E22" s="23">
        <f>E18*E20</f>
        <v>90.320470291235168</v>
      </c>
      <c r="F22" s="23">
        <f>F18*F20</f>
        <v>363.3878299311254</v>
      </c>
      <c r="G22" s="23"/>
      <c r="H22" s="23"/>
      <c r="I22" s="23"/>
      <c r="J22" s="23">
        <f>J18*J20</f>
        <v>5.3165451599250337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822.79741858963007</v>
      </c>
      <c r="C30" s="39">
        <f>IF(ISERROR(B30*3.6/1000000/'E Balans VL '!Z18*100),0,B30*3.6/1000000/'E Balans VL '!Z18*100)</f>
        <v>4.6630039502046111E-2</v>
      </c>
      <c r="D30" s="237" t="s">
        <v>754</v>
      </c>
    </row>
    <row r="31" spans="1:18">
      <c r="A31" s="6" t="s">
        <v>33</v>
      </c>
      <c r="B31" s="37">
        <f>IF( ISERROR(IND_ander_ele_kWh/1000),0,IND_ander_ele_kWh/1000)</f>
        <v>540.75379213537303</v>
      </c>
      <c r="C31" s="39">
        <f>IF(ISERROR(B31*3.6/1000000/'E Balans VL '!Z19*100),0,B31*3.6/1000000/'E Balans VL '!Z19*100)</f>
        <v>2.4526340351659515E-2</v>
      </c>
      <c r="D31" s="237" t="s">
        <v>754</v>
      </c>
    </row>
    <row r="32" spans="1:18">
      <c r="A32" s="171" t="s">
        <v>41</v>
      </c>
      <c r="B32" s="37">
        <f>IF( ISERROR(IND_voed_ele_kWh/1000),0,IND_voed_ele_kWh/1000)</f>
        <v>289.16828987132402</v>
      </c>
      <c r="C32" s="39">
        <f>IF(ISERROR(B32*3.6/1000000/'E Balans VL '!Z20*100),0,B32*3.6/1000000/'E Balans VL '!Z20*100)</f>
        <v>8.9452879189164808E-3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4195.1309847429702</v>
      </c>
      <c r="C37" s="39">
        <f>IF(ISERROR(B37*3.6/1000000/'E Balans VL '!Z15*100),0,B37*3.6/1000000/'E Balans VL '!Z15*100)</f>
        <v>3.3251565164927846E-2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39.146455962224103</v>
      </c>
      <c r="C5" s="17">
        <f>'Eigen informatie GS &amp; warmtenet'!B60</f>
        <v>0</v>
      </c>
      <c r="D5" s="30">
        <f>IF(ISERROR(SUM(LB_lb_gas_kWh,LB_rest_gas_kWh,onbekend_gas_kWh)/1000),0,SUM(LB_lb_gas_kWh,LB_rest_gas_kWh,onbekend_gas_kWh)/1000)*0.902</f>
        <v>3203.6070642722611</v>
      </c>
      <c r="E5" s="17">
        <f>B17*'E Balans VL '!I25/3.6*1000000/100</f>
        <v>1.1506339078068861</v>
      </c>
      <c r="F5" s="17">
        <f>B17*('E Balans VL '!L25/3.6*1000000+'E Balans VL '!N25/3.6*1000000)/100</f>
        <v>163.0820201751759</v>
      </c>
      <c r="G5" s="18"/>
      <c r="H5" s="17"/>
      <c r="I5" s="17"/>
      <c r="J5" s="17">
        <f>('E Balans VL '!D25+'E Balans VL '!E25)/3.6*1000000*landbouw!B17/100</f>
        <v>5.6714807891613166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39.146455962224103</v>
      </c>
      <c r="C8" s="21">
        <f>C5+C6</f>
        <v>0</v>
      </c>
      <c r="D8" s="21">
        <f>MAX((D5+D6),0)</f>
        <v>3203.6070642722611</v>
      </c>
      <c r="E8" s="21">
        <f>MAX((E5+E6),0)</f>
        <v>1.1506339078068861</v>
      </c>
      <c r="F8" s="21">
        <f>MAX((F5+F6),0)</f>
        <v>163.0820201751759</v>
      </c>
      <c r="G8" s="21"/>
      <c r="H8" s="21"/>
      <c r="I8" s="21"/>
      <c r="J8" s="21">
        <f>MAX((J5+J6),0)</f>
        <v>5.6714807891613166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0.19065405140735064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7.4634304274374621</v>
      </c>
      <c r="C12" s="23">
        <f ca="1">C8*C10</f>
        <v>0</v>
      </c>
      <c r="D12" s="23">
        <f>D8*D10</f>
        <v>647.12862698299682</v>
      </c>
      <c r="E12" s="23">
        <f>E8*E10</f>
        <v>0.26119389707216317</v>
      </c>
      <c r="F12" s="23">
        <f>F8*F10</f>
        <v>43.542899386771964</v>
      </c>
      <c r="G12" s="23"/>
      <c r="H12" s="23"/>
      <c r="I12" s="23"/>
      <c r="J12" s="23">
        <f>J8*J10</f>
        <v>2.007704199363106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5.5550049192996066E-3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0.82799999999999996</v>
      </c>
      <c r="C26" s="247">
        <f>B26*'GWP N2O_CH4'!B5</f>
        <v>17.387999999999998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7.0800000000000016E-2</v>
      </c>
      <c r="C27" s="247">
        <f>B27*'GWP N2O_CH4'!B5</f>
        <v>1.4868000000000003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4.8977588638471114E-3</v>
      </c>
      <c r="C28" s="247">
        <f>B28*'GWP N2O_CH4'!B4</f>
        <v>1.5183052477926045</v>
      </c>
      <c r="D28" s="50"/>
    </row>
    <row r="29" spans="1:4">
      <c r="A29" s="41" t="s">
        <v>277</v>
      </c>
      <c r="B29" s="247">
        <f>B34*'ha_N2O bodem landbouw'!B4</f>
        <v>0.31613822030808542</v>
      </c>
      <c r="C29" s="247">
        <f>B29*'GWP N2O_CH4'!B4</f>
        <v>98.002848295506482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7.2141652413530981E-5</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2.0709482591873787E-4</v>
      </c>
      <c r="C5" s="463" t="s">
        <v>211</v>
      </c>
      <c r="D5" s="448">
        <f>SUM(D6:D11)</f>
        <v>6.8185144929907714E-4</v>
      </c>
      <c r="E5" s="448">
        <f>SUM(E6:E11)</f>
        <v>9.8896321323437074E-4</v>
      </c>
      <c r="F5" s="461" t="s">
        <v>211</v>
      </c>
      <c r="G5" s="448">
        <f>SUM(G6:G11)</f>
        <v>0.3863822935899312</v>
      </c>
      <c r="H5" s="448">
        <f>SUM(H6:H11)</f>
        <v>7.8186322491947652E-2</v>
      </c>
      <c r="I5" s="463" t="s">
        <v>211</v>
      </c>
      <c r="J5" s="463" t="s">
        <v>211</v>
      </c>
      <c r="K5" s="463" t="s">
        <v>211</v>
      </c>
      <c r="L5" s="463" t="s">
        <v>211</v>
      </c>
      <c r="M5" s="448">
        <f>SUM(M6:M11)</f>
        <v>2.4895208278178923E-2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1.1905078008763278E-4</v>
      </c>
      <c r="C6" s="449"/>
      <c r="D6" s="962">
        <f>vkm_2011_GW_PW*SUMIFS(TableVerdeelsleutelVkm[CNG],TableVerdeelsleutelVkm[Voertuigtype],"Lichte voertuigen")*SUMIFS(TableECFTransport[EnergieConsumptieFactor (PJ per km)],TableECFTransport[Index],CONCATENATE($A6,"_CNG_CNG"))</f>
        <v>3.5708401133039509E-4</v>
      </c>
      <c r="E6" s="962">
        <f>vkm_2011_GW_PW*SUMIFS(TableVerdeelsleutelVkm[LPG],TableVerdeelsleutelVkm[Voertuigtype],"Lichte voertuigen")*SUMIFS(TableECFTransport[EnergieConsumptieFactor (PJ per km)],TableECFTransport[Index],CONCATENATE($A6,"_LPG_LPG"))</f>
        <v>4.8782805206773282E-4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0.12612997187923741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4.0607093809486891E-2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8.5742967473267807E-3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8.2924960950490983E-2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2.5269422499333579E-5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4.8458593655633939E-3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2.210297931738289E-5</v>
      </c>
      <c r="C8" s="449"/>
      <c r="D8" s="451">
        <f>vkm_2011_NGW_PW*SUMIFS(TableVerdeelsleutelVkm[CNG],TableVerdeelsleutelVkm[Voertuigtype],"Lichte voertuigen")*SUMIFS(TableECFTransport[EnergieConsumptieFactor (PJ per km)],TableECFTransport[Index],CONCATENATE($A8,"_CNG_CNG"))</f>
        <v>1.1787547872324029E-4</v>
      </c>
      <c r="E8" s="451">
        <f>vkm_2011_NGW_PW*SUMIFS(TableVerdeelsleutelVkm[LPG],TableVerdeelsleutelVkm[Voertuigtype],"Lichte voertuigen")*SUMIFS(TableECFTransport[EnergieConsumptieFactor (PJ per km)],TableECFTransport[Index],CONCATENATE($A8,"_LPG_LPG"))</f>
        <v>1.4913653129577933E-4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3.5933719310256879E-2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1.3026368641424408E-2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2.4860172463217335E-3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1.3621783123292822E-2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3.907729148414007E-6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7.9600455916846447E-4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6.5941066513722194E-5</v>
      </c>
      <c r="C10" s="449"/>
      <c r="D10" s="451">
        <f>vkm_2011_SW_PW*SUMIFS(TableVerdeelsleutelVkm[CNG],TableVerdeelsleutelVkm[Voertuigtype],"Lichte voertuigen")*SUMIFS(TableECFTransport[EnergieConsumptieFactor (PJ per km)],TableECFTransport[Index],CONCATENATE($A10,"_CNG_CNG"))</f>
        <v>2.0689195924544177E-4</v>
      </c>
      <c r="E10" s="451">
        <f>vkm_2011_SW_PW*SUMIFS(TableVerdeelsleutelVkm[LPG],TableVerdeelsleutelVkm[Voertuigtype],"Lichte voertuigen")*SUMIFS(TableECFTransport[EnergieConsumptieFactor (PJ per km)],TableECFTransport[Index],CONCATENATE($A10,"_LPG_LPG"))</f>
        <v>3.5199862987085855E-4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8.1136481707679328E-2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2.4508336540882494E-2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5.4677801178349625E-3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4.6635376618973746E-2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1.5346348506106381E-5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2.7252502419635874E-3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57.526340532982736</v>
      </c>
      <c r="C14" s="21"/>
      <c r="D14" s="21">
        <f t="shared" ref="D14:M14" si="0">((D5)*10^9/3600)+D12</f>
        <v>189.40318036085478</v>
      </c>
      <c r="E14" s="21">
        <f t="shared" si="0"/>
        <v>274.71200367621407</v>
      </c>
      <c r="F14" s="21"/>
      <c r="G14" s="21">
        <f t="shared" si="0"/>
        <v>107328.414886092</v>
      </c>
      <c r="H14" s="21">
        <f t="shared" si="0"/>
        <v>21718.422914429902</v>
      </c>
      <c r="I14" s="21"/>
      <c r="J14" s="21"/>
      <c r="K14" s="21"/>
      <c r="L14" s="21"/>
      <c r="M14" s="21">
        <f t="shared" si="0"/>
        <v>6915.3356328274785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0.19065405140735064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10.96762988525205</v>
      </c>
      <c r="C18" s="23"/>
      <c r="D18" s="23">
        <f t="shared" ref="D18:M18" si="1">D14*D16</f>
        <v>38.259442432892669</v>
      </c>
      <c r="E18" s="23">
        <f t="shared" si="1"/>
        <v>62.359624834500593</v>
      </c>
      <c r="F18" s="23"/>
      <c r="G18" s="23">
        <f t="shared" si="1"/>
        <v>28656.686774586564</v>
      </c>
      <c r="H18" s="23">
        <f t="shared" si="1"/>
        <v>5407.8873056930461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7.1261162430511869E-3</v>
      </c>
      <c r="H50" s="321">
        <f t="shared" si="2"/>
        <v>0</v>
      </c>
      <c r="I50" s="321">
        <f t="shared" si="2"/>
        <v>0</v>
      </c>
      <c r="J50" s="321">
        <f t="shared" si="2"/>
        <v>0</v>
      </c>
      <c r="K50" s="321">
        <f t="shared" si="2"/>
        <v>0</v>
      </c>
      <c r="L50" s="321">
        <f t="shared" si="2"/>
        <v>0</v>
      </c>
      <c r="M50" s="321">
        <f t="shared" si="2"/>
        <v>4.0473194382082713E-4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7.1261162430511869E-3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4.0473194382082713E-4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1979.4767341808854</v>
      </c>
      <c r="H54" s="21">
        <f t="shared" si="3"/>
        <v>0</v>
      </c>
      <c r="I54" s="21">
        <f t="shared" si="3"/>
        <v>0</v>
      </c>
      <c r="J54" s="21">
        <f t="shared" si="3"/>
        <v>0</v>
      </c>
      <c r="K54" s="21">
        <f t="shared" si="3"/>
        <v>0</v>
      </c>
      <c r="L54" s="21">
        <f t="shared" si="3"/>
        <v>0</v>
      </c>
      <c r="M54" s="21">
        <f t="shared" si="3"/>
        <v>112.42553995022975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0.19065405140735064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528.52028802629638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7089.7494859449998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7089.7494859449998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19582.289869561755</v>
      </c>
      <c r="D10" s="718">
        <f ca="1">tertiair!C16</f>
        <v>0</v>
      </c>
      <c r="E10" s="718">
        <f ca="1">tertiair!D16</f>
        <v>33141.760969496929</v>
      </c>
      <c r="F10" s="718">
        <f>tertiair!E16</f>
        <v>282.58181448431333</v>
      </c>
      <c r="G10" s="718">
        <f ca="1">tertiair!F16</f>
        <v>3220.1892934767448</v>
      </c>
      <c r="H10" s="718">
        <f>tertiair!G16</f>
        <v>0</v>
      </c>
      <c r="I10" s="718">
        <f>tertiair!H16</f>
        <v>0</v>
      </c>
      <c r="J10" s="718">
        <f>tertiair!I16</f>
        <v>0</v>
      </c>
      <c r="K10" s="718">
        <f>tertiair!J16</f>
        <v>3.2504818446220211E-2</v>
      </c>
      <c r="L10" s="718">
        <f>tertiair!K16</f>
        <v>0</v>
      </c>
      <c r="M10" s="718">
        <f ca="1">tertiair!L16</f>
        <v>0</v>
      </c>
      <c r="N10" s="718">
        <f>tertiair!M16</f>
        <v>0</v>
      </c>
      <c r="O10" s="718">
        <f ca="1">tertiair!N16</f>
        <v>1300.6485999498686</v>
      </c>
      <c r="P10" s="718">
        <f>tertiair!O16</f>
        <v>1.5633333333333335</v>
      </c>
      <c r="Q10" s="719">
        <f>tertiair!P16</f>
        <v>0</v>
      </c>
      <c r="R10" s="721">
        <f ca="1">SUM(C10:Q10)</f>
        <v>57529.06638512139</v>
      </c>
      <c r="S10" s="67"/>
    </row>
    <row r="11" spans="1:19" s="474" customFormat="1">
      <c r="A11" s="870" t="s">
        <v>225</v>
      </c>
      <c r="B11" s="875"/>
      <c r="C11" s="718">
        <f>huishoudens!B8</f>
        <v>26105.602675386534</v>
      </c>
      <c r="D11" s="718">
        <f>huishoudens!C8</f>
        <v>0</v>
      </c>
      <c r="E11" s="718">
        <f>huishoudens!D8</f>
        <v>77910.747960587149</v>
      </c>
      <c r="F11" s="718">
        <f>huishoudens!E8</f>
        <v>671.6119631721449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3269.7387299266102</v>
      </c>
      <c r="P11" s="718">
        <f>huishoudens!O8</f>
        <v>70.350000000000009</v>
      </c>
      <c r="Q11" s="719">
        <f>huishoudens!P8</f>
        <v>610.13333333333333</v>
      </c>
      <c r="R11" s="721">
        <f>SUM(C11:Q11)</f>
        <v>108638.18466240578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5847.8504853392969</v>
      </c>
      <c r="D13" s="718">
        <f>industrie!C18</f>
        <v>0</v>
      </c>
      <c r="E13" s="718">
        <f>industrie!D18</f>
        <v>4291.32921631919</v>
      </c>
      <c r="F13" s="718">
        <f>industrie!E18</f>
        <v>397.88753432262189</v>
      </c>
      <c r="G13" s="718">
        <f>industrie!F18</f>
        <v>1361.0031083562749</v>
      </c>
      <c r="H13" s="718">
        <f>industrie!G18</f>
        <v>0</v>
      </c>
      <c r="I13" s="718">
        <f>industrie!H18</f>
        <v>0</v>
      </c>
      <c r="J13" s="718">
        <f>industrie!I18</f>
        <v>0</v>
      </c>
      <c r="K13" s="718">
        <f>industrie!J18</f>
        <v>15.018489152330604</v>
      </c>
      <c r="L13" s="718">
        <f>industrie!K18</f>
        <v>0</v>
      </c>
      <c r="M13" s="718">
        <f>industrie!L18</f>
        <v>0</v>
      </c>
      <c r="N13" s="718">
        <f>industrie!M18</f>
        <v>0</v>
      </c>
      <c r="O13" s="718">
        <f>industrie!N18</f>
        <v>1151.4011990486549</v>
      </c>
      <c r="P13" s="718">
        <f>industrie!O18</f>
        <v>0</v>
      </c>
      <c r="Q13" s="719">
        <f>industrie!P18</f>
        <v>0</v>
      </c>
      <c r="R13" s="721">
        <f>SUM(C13:Q13)</f>
        <v>13064.49003253837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51535.743030287587</v>
      </c>
      <c r="D15" s="723">
        <f t="shared" ref="D15:Q15" ca="1" si="0">SUM(D9:D14)</f>
        <v>0</v>
      </c>
      <c r="E15" s="723">
        <f t="shared" ca="1" si="0"/>
        <v>115343.83814640327</v>
      </c>
      <c r="F15" s="723">
        <f t="shared" si="0"/>
        <v>1352.0813119790801</v>
      </c>
      <c r="G15" s="723">
        <f t="shared" ca="1" si="0"/>
        <v>4581.1924018330192</v>
      </c>
      <c r="H15" s="723">
        <f t="shared" si="0"/>
        <v>0</v>
      </c>
      <c r="I15" s="723">
        <f t="shared" si="0"/>
        <v>0</v>
      </c>
      <c r="J15" s="723">
        <f t="shared" si="0"/>
        <v>0</v>
      </c>
      <c r="K15" s="723">
        <f t="shared" si="0"/>
        <v>15.050993970776824</v>
      </c>
      <c r="L15" s="723">
        <f t="shared" si="0"/>
        <v>0</v>
      </c>
      <c r="M15" s="723">
        <f t="shared" ca="1" si="0"/>
        <v>0</v>
      </c>
      <c r="N15" s="723">
        <f t="shared" si="0"/>
        <v>0</v>
      </c>
      <c r="O15" s="723">
        <f t="shared" ca="1" si="0"/>
        <v>5721.7885289251344</v>
      </c>
      <c r="P15" s="723">
        <f t="shared" si="0"/>
        <v>71.913333333333341</v>
      </c>
      <c r="Q15" s="724">
        <f t="shared" si="0"/>
        <v>610.13333333333333</v>
      </c>
      <c r="R15" s="725">
        <f ca="1">SUM(R9:R14)</f>
        <v>179231.74108006555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1979.4767341808854</v>
      </c>
      <c r="I18" s="718">
        <f>transport!H54</f>
        <v>0</v>
      </c>
      <c r="J18" s="718">
        <f>transport!I54</f>
        <v>0</v>
      </c>
      <c r="K18" s="718">
        <f>transport!J54</f>
        <v>0</v>
      </c>
      <c r="L18" s="718">
        <f>transport!K54</f>
        <v>0</v>
      </c>
      <c r="M18" s="718">
        <f>transport!L54</f>
        <v>0</v>
      </c>
      <c r="N18" s="718">
        <f>transport!M54</f>
        <v>112.42553995022975</v>
      </c>
      <c r="O18" s="718">
        <f>transport!N54</f>
        <v>0</v>
      </c>
      <c r="P18" s="718">
        <f>transport!O54</f>
        <v>0</v>
      </c>
      <c r="Q18" s="719">
        <f>transport!P54</f>
        <v>0</v>
      </c>
      <c r="R18" s="721">
        <f>SUM(C18:Q18)</f>
        <v>2091.9022741311151</v>
      </c>
      <c r="S18" s="67"/>
    </row>
    <row r="19" spans="1:19" s="474" customFormat="1" ht="15" thickBot="1">
      <c r="A19" s="870" t="s">
        <v>307</v>
      </c>
      <c r="B19" s="875"/>
      <c r="C19" s="727">
        <f>transport!B14</f>
        <v>57.526340532982736</v>
      </c>
      <c r="D19" s="727">
        <f>transport!C14</f>
        <v>0</v>
      </c>
      <c r="E19" s="727">
        <f>transport!D14</f>
        <v>189.40318036085478</v>
      </c>
      <c r="F19" s="727">
        <f>transport!E14</f>
        <v>274.71200367621407</v>
      </c>
      <c r="G19" s="727">
        <f>transport!F14</f>
        <v>0</v>
      </c>
      <c r="H19" s="727">
        <f>transport!G14</f>
        <v>107328.414886092</v>
      </c>
      <c r="I19" s="727">
        <f>transport!H14</f>
        <v>21718.422914429902</v>
      </c>
      <c r="J19" s="727">
        <f>transport!I14</f>
        <v>0</v>
      </c>
      <c r="K19" s="727">
        <f>transport!J14</f>
        <v>0</v>
      </c>
      <c r="L19" s="727">
        <f>transport!K14</f>
        <v>0</v>
      </c>
      <c r="M19" s="727">
        <f>transport!L14</f>
        <v>0</v>
      </c>
      <c r="N19" s="727">
        <f>transport!M14</f>
        <v>6915.3356328274785</v>
      </c>
      <c r="O19" s="727">
        <f>transport!N14</f>
        <v>0</v>
      </c>
      <c r="P19" s="727">
        <f>transport!O14</f>
        <v>0</v>
      </c>
      <c r="Q19" s="728">
        <f>transport!P14</f>
        <v>0</v>
      </c>
      <c r="R19" s="729">
        <f>SUM(C19:Q19)</f>
        <v>136483.81495791941</v>
      </c>
      <c r="S19" s="67"/>
    </row>
    <row r="20" spans="1:19" s="474" customFormat="1" ht="15.75" thickBot="1">
      <c r="A20" s="730" t="s">
        <v>230</v>
      </c>
      <c r="B20" s="878"/>
      <c r="C20" s="873">
        <f>SUM(C17:C19)</f>
        <v>57.526340532982736</v>
      </c>
      <c r="D20" s="731">
        <f t="shared" ref="D20:R20" si="1">SUM(D17:D19)</f>
        <v>0</v>
      </c>
      <c r="E20" s="731">
        <f t="shared" si="1"/>
        <v>189.40318036085478</v>
      </c>
      <c r="F20" s="731">
        <f t="shared" si="1"/>
        <v>274.71200367621407</v>
      </c>
      <c r="G20" s="731">
        <f t="shared" si="1"/>
        <v>0</v>
      </c>
      <c r="H20" s="731">
        <f t="shared" si="1"/>
        <v>109307.89162027289</v>
      </c>
      <c r="I20" s="731">
        <f t="shared" si="1"/>
        <v>21718.422914429902</v>
      </c>
      <c r="J20" s="731">
        <f t="shared" si="1"/>
        <v>0</v>
      </c>
      <c r="K20" s="731">
        <f t="shared" si="1"/>
        <v>0</v>
      </c>
      <c r="L20" s="731">
        <f t="shared" si="1"/>
        <v>0</v>
      </c>
      <c r="M20" s="731">
        <f t="shared" si="1"/>
        <v>0</v>
      </c>
      <c r="N20" s="731">
        <f t="shared" si="1"/>
        <v>7027.7611727777085</v>
      </c>
      <c r="O20" s="731">
        <f t="shared" si="1"/>
        <v>0</v>
      </c>
      <c r="P20" s="731">
        <f t="shared" si="1"/>
        <v>0</v>
      </c>
      <c r="Q20" s="732">
        <f t="shared" si="1"/>
        <v>0</v>
      </c>
      <c r="R20" s="733">
        <f t="shared" si="1"/>
        <v>138575.71723205052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39.146455962224103</v>
      </c>
      <c r="D22" s="727">
        <f>+landbouw!C8</f>
        <v>0</v>
      </c>
      <c r="E22" s="727">
        <f>+landbouw!D8</f>
        <v>3203.6070642722611</v>
      </c>
      <c r="F22" s="727">
        <f>+landbouw!E8</f>
        <v>1.1506339078068861</v>
      </c>
      <c r="G22" s="727">
        <f>+landbouw!F8</f>
        <v>163.0820201751759</v>
      </c>
      <c r="H22" s="727">
        <f>+landbouw!G8</f>
        <v>0</v>
      </c>
      <c r="I22" s="727">
        <f>+landbouw!H8</f>
        <v>0</v>
      </c>
      <c r="J22" s="727">
        <f>+landbouw!I8</f>
        <v>0</v>
      </c>
      <c r="K22" s="727">
        <f>+landbouw!J8</f>
        <v>5.6714807891613166</v>
      </c>
      <c r="L22" s="727">
        <f>+landbouw!K8</f>
        <v>0</v>
      </c>
      <c r="M22" s="727">
        <f>+landbouw!L8</f>
        <v>0</v>
      </c>
      <c r="N22" s="727">
        <f>+landbouw!M8</f>
        <v>0</v>
      </c>
      <c r="O22" s="727">
        <f>+landbouw!N8</f>
        <v>0</v>
      </c>
      <c r="P22" s="727">
        <f>+landbouw!O8</f>
        <v>0</v>
      </c>
      <c r="Q22" s="728">
        <f>+landbouw!P8</f>
        <v>0</v>
      </c>
      <c r="R22" s="729">
        <f>SUM(C22:Q22)</f>
        <v>3412.6576551066291</v>
      </c>
      <c r="S22" s="67"/>
    </row>
    <row r="23" spans="1:19" s="474" customFormat="1" ht="17.25" thickTop="1" thickBot="1">
      <c r="A23" s="734" t="s">
        <v>116</v>
      </c>
      <c r="B23" s="864"/>
      <c r="C23" s="735">
        <f ca="1">C20+C15+C22</f>
        <v>51632.415826782795</v>
      </c>
      <c r="D23" s="735">
        <f t="shared" ref="D23:Q23" ca="1" si="2">D20+D15+D22</f>
        <v>0</v>
      </c>
      <c r="E23" s="735">
        <f t="shared" ca="1" si="2"/>
        <v>118736.84839103639</v>
      </c>
      <c r="F23" s="735">
        <f t="shared" si="2"/>
        <v>1627.9439495631009</v>
      </c>
      <c r="G23" s="735">
        <f t="shared" ca="1" si="2"/>
        <v>4744.274422008195</v>
      </c>
      <c r="H23" s="735">
        <f t="shared" si="2"/>
        <v>109307.89162027289</v>
      </c>
      <c r="I23" s="735">
        <f t="shared" si="2"/>
        <v>21718.422914429902</v>
      </c>
      <c r="J23" s="735">
        <f t="shared" si="2"/>
        <v>0</v>
      </c>
      <c r="K23" s="735">
        <f t="shared" si="2"/>
        <v>20.722474759938141</v>
      </c>
      <c r="L23" s="735">
        <f t="shared" si="2"/>
        <v>0</v>
      </c>
      <c r="M23" s="735">
        <f t="shared" ca="1" si="2"/>
        <v>0</v>
      </c>
      <c r="N23" s="735">
        <f t="shared" si="2"/>
        <v>7027.7611727777085</v>
      </c>
      <c r="O23" s="735">
        <f t="shared" ca="1" si="2"/>
        <v>5721.7885289251344</v>
      </c>
      <c r="P23" s="735">
        <f t="shared" si="2"/>
        <v>71.913333333333341</v>
      </c>
      <c r="Q23" s="736">
        <f t="shared" si="2"/>
        <v>610.13333333333333</v>
      </c>
      <c r="R23" s="737">
        <f ca="1">R20+R15+R22</f>
        <v>321220.11596722272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3733.4428994650684</v>
      </c>
      <c r="D36" s="718">
        <f ca="1">tertiair!C20</f>
        <v>0</v>
      </c>
      <c r="E36" s="718">
        <f ca="1">tertiair!D20</f>
        <v>6694.6357158383798</v>
      </c>
      <c r="F36" s="718">
        <f>tertiair!E20</f>
        <v>64.146071887939129</v>
      </c>
      <c r="G36" s="718">
        <f ca="1">tertiair!F20</f>
        <v>859.79054135829085</v>
      </c>
      <c r="H36" s="718">
        <f>tertiair!G20</f>
        <v>0</v>
      </c>
      <c r="I36" s="718">
        <f>tertiair!H20</f>
        <v>0</v>
      </c>
      <c r="J36" s="718">
        <f>tertiair!I20</f>
        <v>0</v>
      </c>
      <c r="K36" s="718">
        <f>tertiair!J20</f>
        <v>1.1506705729961954E-2</v>
      </c>
      <c r="L36" s="718">
        <f>tertiair!K20</f>
        <v>0</v>
      </c>
      <c r="M36" s="718">
        <f ca="1">tertiair!L20</f>
        <v>0</v>
      </c>
      <c r="N36" s="718">
        <f>tertiair!M20</f>
        <v>0</v>
      </c>
      <c r="O36" s="718">
        <f ca="1">tertiair!N20</f>
        <v>0</v>
      </c>
      <c r="P36" s="718">
        <f>tertiair!O20</f>
        <v>0</v>
      </c>
      <c r="Q36" s="828">
        <f>tertiair!P20</f>
        <v>0</v>
      </c>
      <c r="R36" s="917">
        <f ca="1">SUM(C36:Q36)</f>
        <v>11352.026735255407</v>
      </c>
    </row>
    <row r="37" spans="1:18">
      <c r="A37" s="885" t="s">
        <v>225</v>
      </c>
      <c r="B37" s="892"/>
      <c r="C37" s="718">
        <f ca="1">huishoudens!B12</f>
        <v>4977.1389144930145</v>
      </c>
      <c r="D37" s="718">
        <f ca="1">huishoudens!C12</f>
        <v>0</v>
      </c>
      <c r="E37" s="718">
        <f>huishoudens!D12</f>
        <v>15737.971088038605</v>
      </c>
      <c r="F37" s="718">
        <f>huishoudens!E12</f>
        <v>152.45591564007691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20867.565918171695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1114.9163870543787</v>
      </c>
      <c r="D39" s="718">
        <f ca="1">industrie!C22</f>
        <v>0</v>
      </c>
      <c r="E39" s="718">
        <f>industrie!D22</f>
        <v>866.84850169647643</v>
      </c>
      <c r="F39" s="718">
        <f>industrie!E22</f>
        <v>90.320470291235168</v>
      </c>
      <c r="G39" s="718">
        <f>industrie!F22</f>
        <v>363.3878299311254</v>
      </c>
      <c r="H39" s="718">
        <f>industrie!G22</f>
        <v>0</v>
      </c>
      <c r="I39" s="718">
        <f>industrie!H22</f>
        <v>0</v>
      </c>
      <c r="J39" s="718">
        <f>industrie!I22</f>
        <v>0</v>
      </c>
      <c r="K39" s="718">
        <f>industrie!J22</f>
        <v>5.3165451599250337</v>
      </c>
      <c r="L39" s="718">
        <f>industrie!K22</f>
        <v>0</v>
      </c>
      <c r="M39" s="718">
        <f>industrie!L22</f>
        <v>0</v>
      </c>
      <c r="N39" s="718">
        <f>industrie!M22</f>
        <v>0</v>
      </c>
      <c r="O39" s="718">
        <f>industrie!N22</f>
        <v>0</v>
      </c>
      <c r="P39" s="718">
        <f>industrie!O22</f>
        <v>0</v>
      </c>
      <c r="Q39" s="828">
        <f>industrie!P22</f>
        <v>0</v>
      </c>
      <c r="R39" s="918">
        <f ca="1">SUM(C39:Q39)</f>
        <v>2440.7897341331409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9825.4982010124604</v>
      </c>
      <c r="D41" s="763">
        <f t="shared" ref="D41:R41" ca="1" si="4">SUM(D35:D40)</f>
        <v>0</v>
      </c>
      <c r="E41" s="763">
        <f t="shared" ca="1" si="4"/>
        <v>23299.455305573461</v>
      </c>
      <c r="F41" s="763">
        <f t="shared" si="4"/>
        <v>306.92245781925118</v>
      </c>
      <c r="G41" s="763">
        <f t="shared" ca="1" si="4"/>
        <v>1223.1783712894162</v>
      </c>
      <c r="H41" s="763">
        <f t="shared" si="4"/>
        <v>0</v>
      </c>
      <c r="I41" s="763">
        <f t="shared" si="4"/>
        <v>0</v>
      </c>
      <c r="J41" s="763">
        <f t="shared" si="4"/>
        <v>0</v>
      </c>
      <c r="K41" s="763">
        <f t="shared" si="4"/>
        <v>5.328051865654996</v>
      </c>
      <c r="L41" s="763">
        <f t="shared" si="4"/>
        <v>0</v>
      </c>
      <c r="M41" s="763">
        <f t="shared" ca="1" si="4"/>
        <v>0</v>
      </c>
      <c r="N41" s="763">
        <f t="shared" si="4"/>
        <v>0</v>
      </c>
      <c r="O41" s="763">
        <f t="shared" ca="1" si="4"/>
        <v>0</v>
      </c>
      <c r="P41" s="763">
        <f t="shared" si="4"/>
        <v>0</v>
      </c>
      <c r="Q41" s="764">
        <f t="shared" si="4"/>
        <v>0</v>
      </c>
      <c r="R41" s="765">
        <f t="shared" ca="1" si="4"/>
        <v>34660.382387560239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528.52028802629638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528.52028802629638</v>
      </c>
    </row>
    <row r="45" spans="1:18" ht="15" thickBot="1">
      <c r="A45" s="888" t="s">
        <v>307</v>
      </c>
      <c r="B45" s="898"/>
      <c r="C45" s="727">
        <f ca="1">transport!B18</f>
        <v>10.96762988525205</v>
      </c>
      <c r="D45" s="727">
        <f>transport!C18</f>
        <v>0</v>
      </c>
      <c r="E45" s="727">
        <f>transport!D18</f>
        <v>38.259442432892669</v>
      </c>
      <c r="F45" s="727">
        <f>transport!E18</f>
        <v>62.359624834500593</v>
      </c>
      <c r="G45" s="727">
        <f>transport!F18</f>
        <v>0</v>
      </c>
      <c r="H45" s="727">
        <f>transport!G18</f>
        <v>28656.686774586564</v>
      </c>
      <c r="I45" s="727">
        <f>transport!H18</f>
        <v>5407.8873056930461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34176.160777432255</v>
      </c>
    </row>
    <row r="46" spans="1:18" ht="15.75" thickBot="1">
      <c r="A46" s="886" t="s">
        <v>230</v>
      </c>
      <c r="B46" s="899"/>
      <c r="C46" s="763">
        <f t="shared" ref="C46:R46" ca="1" si="5">SUM(C43:C45)</f>
        <v>10.96762988525205</v>
      </c>
      <c r="D46" s="763">
        <f t="shared" ca="1" si="5"/>
        <v>0</v>
      </c>
      <c r="E46" s="763">
        <f t="shared" si="5"/>
        <v>38.259442432892669</v>
      </c>
      <c r="F46" s="763">
        <f t="shared" si="5"/>
        <v>62.359624834500593</v>
      </c>
      <c r="G46" s="763">
        <f t="shared" si="5"/>
        <v>0</v>
      </c>
      <c r="H46" s="763">
        <f t="shared" si="5"/>
        <v>29185.207062612859</v>
      </c>
      <c r="I46" s="763">
        <f t="shared" si="5"/>
        <v>5407.8873056930461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34704.68106545855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7.4634304274374621</v>
      </c>
      <c r="D48" s="718">
        <f ca="1">+landbouw!C12</f>
        <v>0</v>
      </c>
      <c r="E48" s="718">
        <f>+landbouw!D12</f>
        <v>647.12862698299682</v>
      </c>
      <c r="F48" s="718">
        <f>+landbouw!E12</f>
        <v>0.26119389707216317</v>
      </c>
      <c r="G48" s="718">
        <f>+landbouw!F12</f>
        <v>43.542899386771964</v>
      </c>
      <c r="H48" s="718">
        <f>+landbouw!G12</f>
        <v>0</v>
      </c>
      <c r="I48" s="718">
        <f>+landbouw!H12</f>
        <v>0</v>
      </c>
      <c r="J48" s="718">
        <f>+landbouw!I12</f>
        <v>0</v>
      </c>
      <c r="K48" s="718">
        <f>+landbouw!J12</f>
        <v>2.007704199363106</v>
      </c>
      <c r="L48" s="718">
        <f>+landbouw!K12</f>
        <v>0</v>
      </c>
      <c r="M48" s="718">
        <f>+landbouw!L12</f>
        <v>0</v>
      </c>
      <c r="N48" s="718">
        <f>+landbouw!M12</f>
        <v>0</v>
      </c>
      <c r="O48" s="718">
        <f>+landbouw!N12</f>
        <v>0</v>
      </c>
      <c r="P48" s="718">
        <f>+landbouw!O12</f>
        <v>0</v>
      </c>
      <c r="Q48" s="719">
        <f>+landbouw!P12</f>
        <v>0</v>
      </c>
      <c r="R48" s="761">
        <f ca="1">SUM(C48:Q48)</f>
        <v>700.40385489364166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9843.9292613251491</v>
      </c>
      <c r="D53" s="773">
        <f t="shared" ref="D53:Q53" ca="1" si="6">D41+D46+D48</f>
        <v>0</v>
      </c>
      <c r="E53" s="773">
        <f t="shared" ca="1" si="6"/>
        <v>23984.843374989352</v>
      </c>
      <c r="F53" s="773">
        <f t="shared" si="6"/>
        <v>369.54327655082398</v>
      </c>
      <c r="G53" s="773">
        <f t="shared" ca="1" si="6"/>
        <v>1266.7212706761882</v>
      </c>
      <c r="H53" s="773">
        <f t="shared" si="6"/>
        <v>29185.207062612859</v>
      </c>
      <c r="I53" s="773">
        <f t="shared" si="6"/>
        <v>5407.8873056930461</v>
      </c>
      <c r="J53" s="773">
        <f t="shared" si="6"/>
        <v>0</v>
      </c>
      <c r="K53" s="773">
        <f t="shared" si="6"/>
        <v>7.335756065018102</v>
      </c>
      <c r="L53" s="773">
        <f t="shared" si="6"/>
        <v>0</v>
      </c>
      <c r="M53" s="773">
        <f t="shared" ca="1" si="6"/>
        <v>0</v>
      </c>
      <c r="N53" s="773">
        <f t="shared" si="6"/>
        <v>0</v>
      </c>
      <c r="O53" s="773">
        <f t="shared" ca="1" si="6"/>
        <v>0</v>
      </c>
      <c r="P53" s="773">
        <f>P41+P46+P48</f>
        <v>0</v>
      </c>
      <c r="Q53" s="774">
        <f t="shared" si="6"/>
        <v>0</v>
      </c>
      <c r="R53" s="775">
        <f ca="1">R41+R46+R48</f>
        <v>70065.467307912419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0.19065405140735059</v>
      </c>
      <c r="D55" s="836">
        <f t="shared" ca="1" si="7"/>
        <v>0</v>
      </c>
      <c r="E55" s="836">
        <f t="shared" ca="1" si="7"/>
        <v>0.20200000000000001</v>
      </c>
      <c r="F55" s="836">
        <f t="shared" si="7"/>
        <v>0.22700000000000004</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7089.7494859449998</v>
      </c>
      <c r="C66" s="795">
        <f>'lokale energieproductie'!B6</f>
        <v>7089.7494859449998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7089.7494859449998</v>
      </c>
      <c r="C69" s="803">
        <f>SUM(C64:C68)</f>
        <v>7089.7494859449998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26105.602675386534</v>
      </c>
      <c r="C4" s="478">
        <f>huishoudens!C8</f>
        <v>0</v>
      </c>
      <c r="D4" s="478">
        <f>huishoudens!D8</f>
        <v>77910.747960587149</v>
      </c>
      <c r="E4" s="478">
        <f>huishoudens!E8</f>
        <v>671.6119631721449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3269.7387299266102</v>
      </c>
      <c r="O4" s="478">
        <f>huishoudens!O8</f>
        <v>70.350000000000009</v>
      </c>
      <c r="P4" s="479">
        <f>huishoudens!P8</f>
        <v>610.13333333333333</v>
      </c>
      <c r="Q4" s="480">
        <f>SUM(B4:P4)</f>
        <v>108638.18466240578</v>
      </c>
    </row>
    <row r="5" spans="1:17">
      <c r="A5" s="477" t="s">
        <v>156</v>
      </c>
      <c r="B5" s="478">
        <f ca="1">tertiair!B16</f>
        <v>18561.023869561755</v>
      </c>
      <c r="C5" s="478">
        <f ca="1">tertiair!C16</f>
        <v>0</v>
      </c>
      <c r="D5" s="478">
        <f ca="1">tertiair!D16</f>
        <v>33141.760969496929</v>
      </c>
      <c r="E5" s="478">
        <f>tertiair!E16</f>
        <v>282.58181448431333</v>
      </c>
      <c r="F5" s="478">
        <f ca="1">tertiair!F16</f>
        <v>3220.1892934767448</v>
      </c>
      <c r="G5" s="478">
        <f>tertiair!G16</f>
        <v>0</v>
      </c>
      <c r="H5" s="478">
        <f>tertiair!H16</f>
        <v>0</v>
      </c>
      <c r="I5" s="478">
        <f>tertiair!I16</f>
        <v>0</v>
      </c>
      <c r="J5" s="478">
        <f>tertiair!J16</f>
        <v>3.2504818446220211E-2</v>
      </c>
      <c r="K5" s="478">
        <f>tertiair!K16</f>
        <v>0</v>
      </c>
      <c r="L5" s="478">
        <f ca="1">tertiair!L16</f>
        <v>0</v>
      </c>
      <c r="M5" s="478">
        <f>tertiair!M16</f>
        <v>0</v>
      </c>
      <c r="N5" s="478">
        <f ca="1">tertiair!N16</f>
        <v>1300.6485999498686</v>
      </c>
      <c r="O5" s="478">
        <f>tertiair!O16</f>
        <v>1.5633333333333335</v>
      </c>
      <c r="P5" s="479">
        <f>tertiair!P16</f>
        <v>0</v>
      </c>
      <c r="Q5" s="477">
        <f t="shared" ref="Q5:Q13" ca="1" si="0">SUM(B5:P5)</f>
        <v>56507.800385121394</v>
      </c>
    </row>
    <row r="6" spans="1:17">
      <c r="A6" s="477" t="s">
        <v>194</v>
      </c>
      <c r="B6" s="478">
        <f>'openbare verlichting'!B8</f>
        <v>1021.266</v>
      </c>
      <c r="C6" s="478"/>
      <c r="D6" s="478"/>
      <c r="E6" s="478"/>
      <c r="F6" s="478"/>
      <c r="G6" s="478"/>
      <c r="H6" s="478"/>
      <c r="I6" s="478"/>
      <c r="J6" s="478"/>
      <c r="K6" s="478"/>
      <c r="L6" s="478"/>
      <c r="M6" s="478"/>
      <c r="N6" s="478"/>
      <c r="O6" s="478"/>
      <c r="P6" s="479"/>
      <c r="Q6" s="477">
        <f t="shared" si="0"/>
        <v>1021.266</v>
      </c>
    </row>
    <row r="7" spans="1:17">
      <c r="A7" s="477" t="s">
        <v>112</v>
      </c>
      <c r="B7" s="478">
        <f>landbouw!B8</f>
        <v>39.146455962224103</v>
      </c>
      <c r="C7" s="478">
        <f>landbouw!C8</f>
        <v>0</v>
      </c>
      <c r="D7" s="478">
        <f>landbouw!D8</f>
        <v>3203.6070642722611</v>
      </c>
      <c r="E7" s="478">
        <f>landbouw!E8</f>
        <v>1.1506339078068861</v>
      </c>
      <c r="F7" s="478">
        <f>landbouw!F8</f>
        <v>163.0820201751759</v>
      </c>
      <c r="G7" s="478">
        <f>landbouw!G8</f>
        <v>0</v>
      </c>
      <c r="H7" s="478">
        <f>landbouw!H8</f>
        <v>0</v>
      </c>
      <c r="I7" s="478">
        <f>landbouw!I8</f>
        <v>0</v>
      </c>
      <c r="J7" s="478">
        <f>landbouw!J8</f>
        <v>5.6714807891613166</v>
      </c>
      <c r="K7" s="478">
        <f>landbouw!K8</f>
        <v>0</v>
      </c>
      <c r="L7" s="478">
        <f>landbouw!L8</f>
        <v>0</v>
      </c>
      <c r="M7" s="478">
        <f>landbouw!M8</f>
        <v>0</v>
      </c>
      <c r="N7" s="478">
        <f>landbouw!N8</f>
        <v>0</v>
      </c>
      <c r="O7" s="478">
        <f>landbouw!O8</f>
        <v>0</v>
      </c>
      <c r="P7" s="479">
        <f>landbouw!P8</f>
        <v>0</v>
      </c>
      <c r="Q7" s="477">
        <f t="shared" si="0"/>
        <v>3412.6576551066291</v>
      </c>
    </row>
    <row r="8" spans="1:17">
      <c r="A8" s="477" t="s">
        <v>635</v>
      </c>
      <c r="B8" s="478">
        <f>industrie!B18</f>
        <v>5847.8504853392969</v>
      </c>
      <c r="C8" s="478">
        <f>industrie!C18</f>
        <v>0</v>
      </c>
      <c r="D8" s="478">
        <f>industrie!D18</f>
        <v>4291.32921631919</v>
      </c>
      <c r="E8" s="478">
        <f>industrie!E18</f>
        <v>397.88753432262189</v>
      </c>
      <c r="F8" s="478">
        <f>industrie!F18</f>
        <v>1361.0031083562749</v>
      </c>
      <c r="G8" s="478">
        <f>industrie!G18</f>
        <v>0</v>
      </c>
      <c r="H8" s="478">
        <f>industrie!H18</f>
        <v>0</v>
      </c>
      <c r="I8" s="478">
        <f>industrie!I18</f>
        <v>0</v>
      </c>
      <c r="J8" s="478">
        <f>industrie!J18</f>
        <v>15.018489152330604</v>
      </c>
      <c r="K8" s="478">
        <f>industrie!K18</f>
        <v>0</v>
      </c>
      <c r="L8" s="478">
        <f>industrie!L18</f>
        <v>0</v>
      </c>
      <c r="M8" s="478">
        <f>industrie!M18</f>
        <v>0</v>
      </c>
      <c r="N8" s="478">
        <f>industrie!N18</f>
        <v>1151.4011990486549</v>
      </c>
      <c r="O8" s="478">
        <f>industrie!O18</f>
        <v>0</v>
      </c>
      <c r="P8" s="479">
        <f>industrie!P18</f>
        <v>0</v>
      </c>
      <c r="Q8" s="477">
        <f t="shared" si="0"/>
        <v>13064.49003253837</v>
      </c>
    </row>
    <row r="9" spans="1:17" s="483" customFormat="1">
      <c r="A9" s="481" t="s">
        <v>561</v>
      </c>
      <c r="B9" s="482">
        <f>transport!B14</f>
        <v>57.526340532982736</v>
      </c>
      <c r="C9" s="482">
        <f>transport!C14</f>
        <v>0</v>
      </c>
      <c r="D9" s="482">
        <f>transport!D14</f>
        <v>189.40318036085478</v>
      </c>
      <c r="E9" s="482">
        <f>transport!E14</f>
        <v>274.71200367621407</v>
      </c>
      <c r="F9" s="482">
        <f>transport!F14</f>
        <v>0</v>
      </c>
      <c r="G9" s="482">
        <f>transport!G14</f>
        <v>107328.414886092</v>
      </c>
      <c r="H9" s="482">
        <f>transport!H14</f>
        <v>21718.422914429902</v>
      </c>
      <c r="I9" s="482">
        <f>transport!I14</f>
        <v>0</v>
      </c>
      <c r="J9" s="482">
        <f>transport!J14</f>
        <v>0</v>
      </c>
      <c r="K9" s="482">
        <f>transport!K14</f>
        <v>0</v>
      </c>
      <c r="L9" s="482">
        <f>transport!L14</f>
        <v>0</v>
      </c>
      <c r="M9" s="482">
        <f>transport!M14</f>
        <v>6915.3356328274785</v>
      </c>
      <c r="N9" s="482">
        <f>transport!N14</f>
        <v>0</v>
      </c>
      <c r="O9" s="482">
        <f>transport!O14</f>
        <v>0</v>
      </c>
      <c r="P9" s="482">
        <f>transport!P14</f>
        <v>0</v>
      </c>
      <c r="Q9" s="481">
        <f>SUM(B9:P9)</f>
        <v>136483.81495791941</v>
      </c>
    </row>
    <row r="10" spans="1:17">
      <c r="A10" s="477" t="s">
        <v>551</v>
      </c>
      <c r="B10" s="478">
        <f>transport!B54</f>
        <v>0</v>
      </c>
      <c r="C10" s="478">
        <f>transport!C54</f>
        <v>0</v>
      </c>
      <c r="D10" s="478">
        <f>transport!D54</f>
        <v>0</v>
      </c>
      <c r="E10" s="478">
        <f>transport!E54</f>
        <v>0</v>
      </c>
      <c r="F10" s="478">
        <f>transport!F54</f>
        <v>0</v>
      </c>
      <c r="G10" s="478">
        <f>transport!G54</f>
        <v>1979.4767341808854</v>
      </c>
      <c r="H10" s="478">
        <f>transport!H54</f>
        <v>0</v>
      </c>
      <c r="I10" s="478">
        <f>transport!I54</f>
        <v>0</v>
      </c>
      <c r="J10" s="478">
        <f>transport!J54</f>
        <v>0</v>
      </c>
      <c r="K10" s="478">
        <f>transport!K54</f>
        <v>0</v>
      </c>
      <c r="L10" s="478">
        <f>transport!L54</f>
        <v>0</v>
      </c>
      <c r="M10" s="478">
        <f>transport!M54</f>
        <v>112.42553995022975</v>
      </c>
      <c r="N10" s="478">
        <f>transport!N54</f>
        <v>0</v>
      </c>
      <c r="O10" s="478">
        <f>transport!O54</f>
        <v>0</v>
      </c>
      <c r="P10" s="479">
        <f>transport!P54</f>
        <v>0</v>
      </c>
      <c r="Q10" s="477">
        <f t="shared" si="0"/>
        <v>2091.9022741311151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51632.415826782795</v>
      </c>
      <c r="C14" s="488">
        <f t="shared" ref="C14:Q14" ca="1" si="1">SUM(C4:C13)</f>
        <v>0</v>
      </c>
      <c r="D14" s="488">
        <f t="shared" ca="1" si="1"/>
        <v>118736.84839103639</v>
      </c>
      <c r="E14" s="488">
        <f t="shared" si="1"/>
        <v>1627.9439495631009</v>
      </c>
      <c r="F14" s="488">
        <f t="shared" ca="1" si="1"/>
        <v>4744.274422008195</v>
      </c>
      <c r="G14" s="488">
        <f t="shared" si="1"/>
        <v>109307.89162027289</v>
      </c>
      <c r="H14" s="488">
        <f t="shared" si="1"/>
        <v>21718.422914429902</v>
      </c>
      <c r="I14" s="488">
        <f t="shared" si="1"/>
        <v>0</v>
      </c>
      <c r="J14" s="488">
        <f t="shared" si="1"/>
        <v>20.722474759938141</v>
      </c>
      <c r="K14" s="488">
        <f t="shared" si="1"/>
        <v>0</v>
      </c>
      <c r="L14" s="488">
        <f t="shared" ca="1" si="1"/>
        <v>0</v>
      </c>
      <c r="M14" s="488">
        <f t="shared" si="1"/>
        <v>7027.7611727777085</v>
      </c>
      <c r="N14" s="488">
        <f t="shared" ca="1" si="1"/>
        <v>5721.7885289251344</v>
      </c>
      <c r="O14" s="488">
        <f t="shared" si="1"/>
        <v>71.913333333333341</v>
      </c>
      <c r="P14" s="489">
        <f t="shared" si="1"/>
        <v>610.13333333333333</v>
      </c>
      <c r="Q14" s="489">
        <f t="shared" ca="1" si="1"/>
        <v>321220.11596722272</v>
      </c>
    </row>
    <row r="16" spans="1:17">
      <c r="A16" s="491" t="s">
        <v>556</v>
      </c>
      <c r="B16" s="841">
        <f ca="1">huishoudens!B10</f>
        <v>0.19065405140735064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4977.1389144930145</v>
      </c>
      <c r="C21" s="478">
        <f t="shared" ref="C21:C30" ca="1" si="3">C4*$C$16</f>
        <v>0</v>
      </c>
      <c r="D21" s="478">
        <f t="shared" ref="D21:D30" si="4">D4*$D$16</f>
        <v>15737.971088038605</v>
      </c>
      <c r="E21" s="478">
        <f t="shared" ref="E21:E30" si="5">E4*$E$16</f>
        <v>152.45591564007691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20867.565918171695</v>
      </c>
    </row>
    <row r="22" spans="1:17">
      <c r="A22" s="477" t="s">
        <v>156</v>
      </c>
      <c r="B22" s="478">
        <f t="shared" ca="1" si="2"/>
        <v>3538.7343990004892</v>
      </c>
      <c r="C22" s="478">
        <f t="shared" ca="1" si="3"/>
        <v>0</v>
      </c>
      <c r="D22" s="478">
        <f t="shared" ca="1" si="4"/>
        <v>6694.6357158383798</v>
      </c>
      <c r="E22" s="478">
        <f t="shared" si="5"/>
        <v>64.146071887939129</v>
      </c>
      <c r="F22" s="478">
        <f t="shared" ca="1" si="6"/>
        <v>859.79054135829085</v>
      </c>
      <c r="G22" s="478">
        <f t="shared" si="7"/>
        <v>0</v>
      </c>
      <c r="H22" s="478">
        <f t="shared" si="8"/>
        <v>0</v>
      </c>
      <c r="I22" s="478">
        <f t="shared" si="9"/>
        <v>0</v>
      </c>
      <c r="J22" s="478">
        <f t="shared" si="10"/>
        <v>1.1506705729961954E-2</v>
      </c>
      <c r="K22" s="478">
        <f t="shared" si="11"/>
        <v>0</v>
      </c>
      <c r="L22" s="478">
        <f t="shared" ca="1" si="12"/>
        <v>0</v>
      </c>
      <c r="M22" s="478">
        <f t="shared" si="13"/>
        <v>0</v>
      </c>
      <c r="N22" s="478">
        <f t="shared" ca="1" si="14"/>
        <v>0</v>
      </c>
      <c r="O22" s="478">
        <f t="shared" si="15"/>
        <v>0</v>
      </c>
      <c r="P22" s="479">
        <f t="shared" si="16"/>
        <v>0</v>
      </c>
      <c r="Q22" s="477">
        <f t="shared" ref="Q22:Q30" ca="1" si="17">SUM(B22:P22)</f>
        <v>11157.318234790828</v>
      </c>
    </row>
    <row r="23" spans="1:17">
      <c r="A23" s="477" t="s">
        <v>194</v>
      </c>
      <c r="B23" s="478">
        <f t="shared" ca="1" si="2"/>
        <v>194.70850046457934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194.70850046457934</v>
      </c>
    </row>
    <row r="24" spans="1:17">
      <c r="A24" s="477" t="s">
        <v>112</v>
      </c>
      <c r="B24" s="478">
        <f t="shared" ca="1" si="2"/>
        <v>7.4634304274374621</v>
      </c>
      <c r="C24" s="478">
        <f t="shared" ca="1" si="3"/>
        <v>0</v>
      </c>
      <c r="D24" s="478">
        <f t="shared" si="4"/>
        <v>647.12862698299682</v>
      </c>
      <c r="E24" s="478">
        <f t="shared" si="5"/>
        <v>0.26119389707216317</v>
      </c>
      <c r="F24" s="478">
        <f t="shared" si="6"/>
        <v>43.542899386771964</v>
      </c>
      <c r="G24" s="478">
        <f t="shared" si="7"/>
        <v>0</v>
      </c>
      <c r="H24" s="478">
        <f t="shared" si="8"/>
        <v>0</v>
      </c>
      <c r="I24" s="478">
        <f t="shared" si="9"/>
        <v>0</v>
      </c>
      <c r="J24" s="478">
        <f t="shared" si="10"/>
        <v>2.007704199363106</v>
      </c>
      <c r="K24" s="478">
        <f t="shared" si="11"/>
        <v>0</v>
      </c>
      <c r="L24" s="478">
        <f t="shared" si="12"/>
        <v>0</v>
      </c>
      <c r="M24" s="478">
        <f t="shared" si="13"/>
        <v>0</v>
      </c>
      <c r="N24" s="478">
        <f t="shared" si="14"/>
        <v>0</v>
      </c>
      <c r="O24" s="478">
        <f t="shared" si="15"/>
        <v>0</v>
      </c>
      <c r="P24" s="479">
        <f t="shared" si="16"/>
        <v>0</v>
      </c>
      <c r="Q24" s="477">
        <f t="shared" ca="1" si="17"/>
        <v>700.40385489364166</v>
      </c>
    </row>
    <row r="25" spans="1:17">
      <c r="A25" s="477" t="s">
        <v>635</v>
      </c>
      <c r="B25" s="478">
        <f t="shared" ca="1" si="2"/>
        <v>1114.9163870543787</v>
      </c>
      <c r="C25" s="478">
        <f t="shared" ca="1" si="3"/>
        <v>0</v>
      </c>
      <c r="D25" s="478">
        <f t="shared" si="4"/>
        <v>866.84850169647643</v>
      </c>
      <c r="E25" s="478">
        <f t="shared" si="5"/>
        <v>90.320470291235168</v>
      </c>
      <c r="F25" s="478">
        <f t="shared" si="6"/>
        <v>363.3878299311254</v>
      </c>
      <c r="G25" s="478">
        <f t="shared" si="7"/>
        <v>0</v>
      </c>
      <c r="H25" s="478">
        <f t="shared" si="8"/>
        <v>0</v>
      </c>
      <c r="I25" s="478">
        <f t="shared" si="9"/>
        <v>0</v>
      </c>
      <c r="J25" s="478">
        <f t="shared" si="10"/>
        <v>5.3165451599250337</v>
      </c>
      <c r="K25" s="478">
        <f t="shared" si="11"/>
        <v>0</v>
      </c>
      <c r="L25" s="478">
        <f t="shared" si="12"/>
        <v>0</v>
      </c>
      <c r="M25" s="478">
        <f t="shared" si="13"/>
        <v>0</v>
      </c>
      <c r="N25" s="478">
        <f t="shared" si="14"/>
        <v>0</v>
      </c>
      <c r="O25" s="478">
        <f t="shared" si="15"/>
        <v>0</v>
      </c>
      <c r="P25" s="479">
        <f t="shared" si="16"/>
        <v>0</v>
      </c>
      <c r="Q25" s="477">
        <f t="shared" ca="1" si="17"/>
        <v>2440.7897341331409</v>
      </c>
    </row>
    <row r="26" spans="1:17" s="483" customFormat="1">
      <c r="A26" s="481" t="s">
        <v>561</v>
      </c>
      <c r="B26" s="835">
        <f t="shared" ca="1" si="2"/>
        <v>10.96762988525205</v>
      </c>
      <c r="C26" s="482">
        <f t="shared" ca="1" si="3"/>
        <v>0</v>
      </c>
      <c r="D26" s="482">
        <f t="shared" si="4"/>
        <v>38.259442432892669</v>
      </c>
      <c r="E26" s="482">
        <f t="shared" si="5"/>
        <v>62.359624834500593</v>
      </c>
      <c r="F26" s="482">
        <f t="shared" si="6"/>
        <v>0</v>
      </c>
      <c r="G26" s="482">
        <f t="shared" si="7"/>
        <v>28656.686774586564</v>
      </c>
      <c r="H26" s="482">
        <f t="shared" si="8"/>
        <v>5407.8873056930461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34176.160777432255</v>
      </c>
    </row>
    <row r="27" spans="1:17">
      <c r="A27" s="477" t="s">
        <v>551</v>
      </c>
      <c r="B27" s="478">
        <f t="shared" ca="1" si="2"/>
        <v>0</v>
      </c>
      <c r="C27" s="478">
        <f t="shared" ca="1" si="3"/>
        <v>0</v>
      </c>
      <c r="D27" s="478">
        <f t="shared" si="4"/>
        <v>0</v>
      </c>
      <c r="E27" s="478">
        <f t="shared" si="5"/>
        <v>0</v>
      </c>
      <c r="F27" s="478">
        <f t="shared" si="6"/>
        <v>0</v>
      </c>
      <c r="G27" s="478">
        <f t="shared" si="7"/>
        <v>528.52028802629638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528.52028802629638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9843.9292613251491</v>
      </c>
      <c r="C31" s="488">
        <f t="shared" ca="1" si="18"/>
        <v>0</v>
      </c>
      <c r="D31" s="488">
        <f t="shared" ca="1" si="18"/>
        <v>23984.843374989352</v>
      </c>
      <c r="E31" s="488">
        <f t="shared" si="18"/>
        <v>369.54327655082398</v>
      </c>
      <c r="F31" s="488">
        <f t="shared" ca="1" si="18"/>
        <v>1266.7212706761882</v>
      </c>
      <c r="G31" s="488">
        <f t="shared" si="18"/>
        <v>29185.207062612859</v>
      </c>
      <c r="H31" s="488">
        <f t="shared" si="18"/>
        <v>5407.8873056930461</v>
      </c>
      <c r="I31" s="488">
        <f t="shared" si="18"/>
        <v>0</v>
      </c>
      <c r="J31" s="488">
        <f t="shared" si="18"/>
        <v>7.3357560650181011</v>
      </c>
      <c r="K31" s="488">
        <f t="shared" si="18"/>
        <v>0</v>
      </c>
      <c r="L31" s="488">
        <f t="shared" ca="1" si="18"/>
        <v>0</v>
      </c>
      <c r="M31" s="488">
        <f t="shared" si="18"/>
        <v>0</v>
      </c>
      <c r="N31" s="488">
        <f t="shared" ca="1" si="18"/>
        <v>0</v>
      </c>
      <c r="O31" s="488">
        <f t="shared" si="18"/>
        <v>0</v>
      </c>
      <c r="P31" s="489">
        <f t="shared" si="18"/>
        <v>0</v>
      </c>
      <c r="Q31" s="489">
        <f t="shared" ca="1" si="18"/>
        <v>70065.467307912433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0.19065405140735064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0.19065405140735064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0.19065405140735064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2018-09-06T12:45:42Z</dcterms:modified>
</cp:coreProperties>
</file>