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2" l="1"/>
  <c r="C31" s="1"/>
  <c r="R13" i="14"/>
  <c r="R15" s="1"/>
  <c r="R23" s="1"/>
  <c r="C27"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<sst xmlns="http://schemas.openxmlformats.org/spreadsheetml/2006/main" count="1995" uniqueCount="841">
  <si>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</si>
  <si>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</si>
  <si>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</si>
  <si>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</si>
  <si>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</si>
  <si>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</si>
  <si>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</si>
  <si>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</si>
  <si>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</si>
  <si>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</si>
  <si>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</si>
  <si>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</si>
  <si>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</si>
  <si>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</si>
  <si>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</si>
  <si>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</si>
  <si>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</si>
  <si>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</si>
  <si>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</si>
  <si>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</si>
  <si>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</si>
  <si>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</si>
  <si>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</si>
  <si>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</si>
  <si>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</si>
  <si>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</si>
  <si>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</si>
  <si>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</si>
  <si>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</si>
  <si>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</si>
  <si>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</si>
  <si>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</si>
  <si>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</si>
  <si>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</si>
  <si>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</si>
  <si>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</si>
  <si>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</si>
  <si>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</si>
  <si>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</si>
  <si>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</si>
  <si>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</si>
  <si>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</si>
  <si>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</si>
  <si>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</si>
  <si>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</si>
  <si>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</si>
  <si>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</si>
  <si>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</si>
  <si>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</si>
  <si>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</si>
  <si>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</si>
  <si>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</si>
  <si>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</si>
  <si>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</si>
  <si>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</si>
  <si>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</si>
  <si>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</si>
  <si>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</si>
  <si>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</si>
  <si>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</si>
  <si>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</si>
  <si>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</si>
  <si>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</si>
  <si>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</si>
  <si>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</si>
  <si>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</si>
  <si>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</si>
  <si>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</si>
  <si>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</si>
  <si>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</si>
  <si>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</si>
  <si>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</si>
  <si>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</si>
  <si>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</si>
  <si>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</si>
  <si>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</si>
  <si>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</si>
  <si>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</si>
  <si>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</si>
  <si>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</si>
  <si>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</si>
  <si>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</si>
  <si>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</si>
  <si>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</si>
  <si>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</si>
  <si>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</si>
  <si>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</si>
  <si>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</si>
  <si>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</si>
  <si>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</si>
  <si>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</si>
  <si>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</si>
  <si>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</si>
  <si>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</si>
  <si>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</si>
  <si>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</si>
  <si>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</si>
  <si>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</si>
  <si>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</si>
  <si>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</si>
  <si>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</si>
  <si>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</si>
  <si>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</si>
  <si>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</si>
  <si>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</si>
  <si>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</si>
  <si>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</si>
  <si>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</si>
  <si>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</si>
  <si>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</si>
  <si>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</si>
  <si>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</si>
  <si>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</si>
  <si>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</si>
  <si>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</si>
  <si>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</si>
  <si>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</si>
  <si>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</si>
  <si>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</si>
  <si>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</si>
  <si>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</si>
  <si>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</si>
  <si>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</si>
  <si>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</si>
  <si>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</si>
  <si>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</si>
  <si>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</si>
  <si>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</si>
  <si>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</si>
  <si>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</si>
  <si>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</si>
  <si>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</si>
  <si>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</si>
  <si>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</si>
  <si>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</si>
  <si>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</si>
  <si>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</si>
  <si>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</si>
  <si>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</si>
  <si>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</si>
  <si>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</si>
  <si>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</si>
  <si>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</si>
  <si>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</si>
  <si>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</si>
  <si>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</si>
  <si>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</si>
  <si>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</si>
  <si>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</si>
  <si>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</si>
  <si>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</si>
  <si>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</si>
  <si>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</si>
  <si>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</si>
  <si>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</si>
  <si>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</si>
  <si>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</si>
  <si>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</si>
  <si>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</si>
  <si>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</si>
  <si>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</si>
  <si>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</si>
  <si>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</si>
  <si>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</si>
  <si>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</si>
  <si>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</si>
  <si>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</si>
  <si>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</si>
  <si>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</si>
  <si>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</si>
  <si>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</si>
  <si>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</si>
  <si>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</si>
  <si>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</si>
  <si>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</si>
  <si>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</si>
  <si>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</si>
  <si>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</si>
  <si>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</si>
  <si>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</si>
  <si>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</si>
  <si>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</si>
  <si>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</si>
  <si>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</si>
  <si>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</si>
  <si>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</si>
  <si>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</si>
  <si>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</si>
  <si>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</si>
  <si>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</si>
  <si>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</si>
  <si>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</si>
  <si>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</si>
  <si>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</si>
  <si>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</si>
  <si>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</si>
  <si>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</si>
  <si>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</si>
  <si>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</si>
  <si>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</si>
  <si>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</si>
  <si>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</si>
  <si>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</si>
  <si>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</si>
  <si>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</si>
  <si>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</si>
  <si>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</si>
  <si>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</si>
  <si>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</si>
  <si>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</si>
  <si>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</si>
  <si>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</si>
  <si>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</si>
  <si>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</si>
  <si>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</si>
  <si>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</si>
  <si>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</si>
  <si>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</si>
  <si>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</si>
  <si>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</si>
  <si>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</si>
  <si>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</si>
  <si>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</si>
  <si>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</si>
  <si>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</si>
  <si>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</si>
  <si>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</si>
  <si>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</si>
  <si>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</si>
  <si>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</si>
  <si>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</si>
  <si>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</si>
  <si>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</si>
  <si>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</si>
  <si>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</si>
  <si>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</si>
  <si>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</si>
  <si>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</si>
  <si>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</si>
  <si>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</si>
  <si>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</si>
  <si>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</si>
  <si>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</si>
  <si>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</si>
  <si>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</si>
  <si>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</si>
  <si>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</si>
  <si>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</si>
  <si>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</si>
  <si>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</si>
  <si>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</si>
  <si>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</si>
  <si>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</si>
  <si>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</si>
  <si>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</si>
  <si>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</si>
  <si>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</si>
  <si>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</si>
  <si>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</si>
  <si>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</si>
  <si>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</si>
  <si>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</si>
  <si>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</si>
  <si>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</si>
  <si>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</si>
  <si>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</si>
  <si>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</si>
  <si>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</si>
  <si>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</si>
  <si>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</si>
  <si>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</si>
  <si>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</si>
  <si>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</si>
  <si>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</si>
  <si>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</si>
  <si>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</si>
  <si>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</si>
  <si>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</si>
  <si>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</si>
  <si>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</si>
  <si>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</si>
  <si>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</si>
  <si>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</si>
  <si>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</si>
  <si>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</si>
  <si>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</si>
  <si>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</si>
  <si>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</si>
  <si>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</si>
  <si>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</si>
  <si>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</si>
  <si>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</si>
  <si>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</si>
  <si>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</si>
  <si>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</si>
  <si>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</si>
  <si>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</si>
  <si>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</si>
  <si>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</si>
  <si>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</si>
  <si>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</si>
  <si>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</si>
  <si>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</si>
  <si>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</si>
  <si>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</si>
  <si>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</si>
  <si>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</si>
  <si>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</si>
  <si>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</si>
  <si>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</si>
  <si>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</si>
  <si>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</si>
  <si>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</si>
  <si>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</si>
  <si>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</si>
  <si>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</si>
  <si>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</si>
  <si>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</si>
  <si>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</si>
  <si>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</si>
  <si>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</si>
  <si>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</si>
  <si>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</si>
  <si>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</si>
  <si>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</si>
  <si>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</si>
  <si>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</si>
  <si>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</si>
  <si>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</si>
  <si>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</si>
  <si>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</si>
  <si>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</si>
  <si>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</si>
  <si>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</si>
  <si>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</si>
  <si>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</si>
  <si>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</si>
  <si>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</si>
  <si>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</si>
  <si>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</si>
  <si>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</si>
  <si>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</si>
  <si>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</si>
  <si>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</si>
  <si>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</si>
  <si>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</si>
  <si>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</si>
  <si>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</si>
  <si>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</si>
  <si>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</si>
  <si>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</si>
  <si>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</si>
  <si>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</si>
  <si>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</si>
  <si>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</si>
  <si>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</si>
  <si>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</si>
  <si>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</si>
  <si>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</si>
  <si>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</si>
  <si>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</si>
  <si>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</si>
  <si>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</si>
  <si>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</si>
  <si>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</si>
  <si>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</si>
  <si>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</si>
  <si>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</si>
  <si>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</si>
  <si>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</si>
  <si>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</si>
  <si>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</si>
  <si>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</si>
  <si>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</si>
  <si>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</si>
  <si>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</si>
  <si>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</si>
  <si>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</si>
  <si>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</si>
  <si>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</si>
  <si>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</si>
  <si>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</si>
  <si>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</si>
  <si>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</si>
  <si>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</si>
  <si>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</si>
  <si>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</si>
  <si>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</si>
  <si>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</si>
  <si>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</si>
  <si>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</si>
  <si>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</si>
  <si>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</si>
  <si>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</si>
  <si>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</si>
  <si>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</si>
  <si>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</si>
  <si>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</si>
  <si>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</si>
  <si>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</si>
  <si>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</si>
  <si>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</si>
  <si>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</si>
  <si>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</si>
  <si>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</si>
  <si>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</si>
  <si>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</si>
  <si>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</si>
  <si>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</si>
  <si>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</si>
  <si>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</si>
  <si>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</si>
  <si>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</si>
  <si>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</si>
  <si>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</si>
  <si>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</si>
  <si>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</si>
  <si>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</si>
  <si>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</si>
  <si>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</si>
  <si>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</si>
  <si>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</si>
  <si>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</si>
  <si>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</si>
  <si>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</si>
  <si>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</si>
  <si>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</si>
  <si>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</si>
  <si>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</si>
  <si>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</si>
  <si>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</si>
  <si>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</si>
  <si>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</si>
  <si>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</si>
  <si>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</si>
  <si>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</si>
  <si>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</si>
  <si>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</si>
  <si>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</si>
  <si>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</si>
  <si>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</si>
  <si>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</si>
  <si>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</si>
  <si>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</si>
  <si>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</si>
  <si>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</si>
  <si>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</si>
  <si>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</si>
  <si>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</si>
  <si>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</si>
  <si>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</si>
  <si>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</si>
  <si>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</si>
  <si>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</si>
  <si>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</si>
  <si>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</si>
  <si>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</si>
  <si>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</si>
  <si>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</si>
  <si>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</si>
  <si>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</si>
  <si>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</si>
  <si>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</si>
  <si>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</si>
  <si>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</si>
  <si>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</si>
  <si>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</si>
  <si>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</si>
  <si>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</si>
  <si>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</si>
  <si>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</si>
  <si>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</si>
  <si>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</si>
  <si>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</si>
  <si>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</si>
  <si>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</si>
  <si>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</si>
  <si>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</si>
  <si>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</si>
  <si>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</si>
  <si>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</si>
  <si>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</si>
  <si>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</si>
  <si>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</si>
  <si>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</si>
  <si>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</si>
  <si>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</si>
  <si>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</si>
  <si>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</si>
  <si>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</si>
  <si>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</si>
  <si>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</si>
  <si>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</si>
  <si>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</si>
  <si>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</si>
  <si>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</si>
  <si>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</si>
  <si>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</si>
  <si>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</si>
  <si>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</si>
  <si>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</si>
  <si>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</si>
  <si>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</si>
  <si>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</si>
  <si>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</si>
  <si>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</si>
  <si>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</si>
  <si>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</si>
  <si>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</si>
  <si>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</si>
  <si>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</si>
  <si>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</si>
  <si>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</si>
  <si>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</si>
  <si>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</si>
  <si>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</si>
  <si>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</si>
  <si>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</si>
  <si>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</si>
  <si>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</si>
  <si>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</si>
  <si>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</si>
  <si>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</si>
  <si>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</si>
  <si>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</si>
  <si>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</si>
  <si>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</si>
  <si>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</si>
  <si>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</si>
  <si>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</si>
  <si>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</si>
  <si>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</si>
  <si>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</si>
  <si>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</si>
  <si>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</si>
  <si>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</si>
  <si>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</si>
  <si>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</si>
  <si>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</si>
  <si>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</si>
  <si>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</si>
  <si>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</si>
  <si>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</si>
  <si>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</si>
  <si>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</si>
  <si>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</si>
  <si>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</si>
  <si>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</si>
  <si>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</si>
  <si>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</si>
  <si>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</si>
  <si>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</si>
  <si>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</si>
  <si>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</si>
  <si>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</si>
  <si>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</si>
  <si>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</si>
  <si>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</si>
  <si>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</si>
  <si>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</si>
  <si>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</si>
  <si>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</si>
  <si>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</si>
  <si>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</si>
  <si>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</si>
  <si>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</si>
  <si>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</si>
  <si>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</si>
  <si>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</si>
  <si>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</si>
  <si>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</si>
  <si>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</si>
  <si>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</si>
  <si>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</si>
  <si>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</si>
  <si>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</si>
  <si>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</si>
  <si>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</si>
  <si>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</si>
  <si>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</si>
  <si>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</si>
  <si>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</si>
  <si>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</si>
  <si>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</si>
  <si>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</si>
  <si>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</si>
  <si>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</si>
  <si>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</si>
  <si>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</si>
  <si>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</si>
  <si>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</si>
  <si>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</si>
  <si>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</si>
  <si>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</si>
  <si>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</si>
  <si>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</si>
  <si>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</si>
  <si>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</si>
  <si>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</si>
  <si>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</si>
  <si>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</si>
  <si>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</si>
  <si>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</si>
  <si>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</si>
  <si>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</si>
  <si>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</si>
  <si>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</si>
  <si>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</si>
  <si>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</si>
  <si>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</si>
  <si>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</si>
  <si>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</si>
  <si>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</si>
  <si>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</si>
  <si>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</si>
  <si>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</si>
  <si>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</si>
  <si>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</si>
  <si>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</si>
  <si>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</si>
  <si>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</si>
  <si>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</si>
  <si>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</si>
  <si>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</si>
  <si>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</si>
  <si>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</si>
  <si>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</si>
  <si>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</si>
  <si>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</si>
  <si>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</si>
  <si>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</si>
  <si>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</si>
  <si>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</si>
  <si>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</si>
  <si>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</si>
  <si>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</si>
  <si>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</si>
  <si>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</si>
  <si>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</si>
  <si>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</si>
  <si>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</si>
  <si>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</si>
  <si>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</si>
  <si>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</si>
  <si>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</si>
  <si>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</si>
  <si>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</si>
  <si>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</si>
  <si>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</si>
  <si>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</si>
  <si>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</si>
  <si>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</si>
  <si>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</si>
  <si>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</si>
  <si>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</si>
  <si>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</si>
  <si>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</si>
  <si>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</si>
  <si>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</si>
  <si>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</si>
  <si>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</si>
  <si>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</si>
  <si>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</si>
  <si>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</si>
  <si>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</si>
  <si>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</si>
  <si>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</si>
  <si>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</si>
  <si>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</si>
  <si>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</si>
  <si>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</si>
  <si>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</si>
  <si>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</si>
  <si>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</si>
  <si>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</si>
  <si>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</si>
  <si>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</si>
  <si>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</si>
  <si>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</si>
  <si>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</si>
  <si>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</si>
  <si>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</si>
  <si>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</si>
  <si>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</si>
  <si>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</si>
  <si>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</si>
  <si>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</si>
  <si>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</si>
  <si>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</si>
  <si>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</si>
  <si>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</si>
  <si>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</si>
  <si>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</si>
  <si>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</si>
  <si>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</si>
  <si>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</si>
  <si>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</si>
  <si>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</si>
  <si>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</si>
  <si>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</si>
  <si>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</si>
  <si>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</si>
  <si>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</si>
  <si>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</si>
  <si>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</si>
  <si>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</si>
  <si>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</si>
  <si>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</si>
  <si>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</si>
  <si>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</si>
  <si>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</si>
  <si>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</si>
  <si>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</si>
  <si>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</si>
  <si>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</si>
  <si>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</si>
  <si>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</si>
  <si>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</si>
  <si>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</si>
  <si>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</si>
  <si>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</si>
  <si>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</si>
  <si>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</si>
  <si>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</si>
  <si>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</si>
  <si>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</si>
  <si>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</si>
  <si>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</si>
  <si>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</si>
  <si>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</si>
  <si>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</si>
  <si>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</si>
  <si>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</si>
  <si>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</si>
  <si>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</si>
  <si>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</si>
  <si>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</si>
  <si>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</si>
  <si>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</si>
  <si>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</si>
  <si>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</si>
  <si>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</si>
  <si>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</si>
  <si>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</si>
  <si>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</si>
  <si>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</si>
  <si>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</si>
  <si>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</si>
  <si>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</si>
  <si>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</si>
  <si>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</si>
  <si>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</si>
  <si>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</si>
  <si>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</si>
  <si>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</si>
  <si>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</si>
  <si>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</si>
  <si>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</si>
  <si>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</si>
  <si>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</si>
  <si>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</si>
  <si>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</si>
  <si>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</si>
  <si>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</si>
  <si>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</si>
  <si>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</si>
  <si>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</si>
  <si>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</si>
  <si>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</si>
  <si>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</si>
  <si>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</si>
  <si>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</si>
  <si>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</si>
  <si>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</si>
  <si>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</si>
  <si>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</si>
  <si>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</si>
  <si>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</si>
  <si>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</si>
  <si>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</si>
  <si>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</si>
  <si>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</si>
  <si>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</si>
  <si>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</si>
  <si>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</si>
  <si>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</si>
  <si>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</si>
  <si>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</si>
  <si>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</si>
  <si>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</si>
  <si>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</si>
  <si>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</si>
  <si>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</si>
  <si>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</si>
  <si>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</si>
  <si>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</si>
  <si>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</si>
  <si>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</si>
  <si>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</si>
  <si>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</si>
  <si>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</si>
  <si>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11004</t>
  </si>
  <si>
    <t>BOECHOUT</t>
  </si>
  <si>
    <t>Eandis (januari 2018); Infrax (juni 2018)</t>
  </si>
  <si>
    <t>MOW (september 2017)</t>
  </si>
  <si>
    <t>referentietaak LNE (2017); Jaarverslag De Lijn (2016)</t>
  </si>
  <si>
    <t>VEA (april 2018)</t>
  </si>
  <si>
    <t>VEA (januari 2017)</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</si>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</sst>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89636.664266129708</c:v>
                </c:pt>
                <c:pt idx="1">
                  <c:v>32997.100002529944</c:v>
                </c:pt>
                <c:pt idx="2">
                  <c:v>564.21299999999997</c:v>
                </c:pt>
                <c:pt idx="3">
                  <c:v>565832.75711209711</c:v>
                </c:pt>
                <c:pt idx="4">
                  <c:v>39915.181537798329</c:v>
                </c:pt>
                <c:pt idx="5">
                  <c:v>43401.856960444908</c:v>
                </c:pt>
                <c:pt idx="6">
                  <c:v>2142.0627006826112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96960"/>
        <c:axId val="182702848"/>
      </c:barChart>
      <c:catAx>
        <c:axId val="182696960"/>
        <c:scaling>
          <c:orientation val="minMax"/>
        </c:scaling>
        <c:axPos val="b"/>
        <c:numFmt formatCode="General" sourceLinked="0"/>
        <c:tickLblPos val="nextTo"/>
        <c:crossAx val="182702848"/>
        <c:crosses val="autoZero"/>
        <c:auto val="1"/>
        <c:lblAlgn val="ctr"/>
        <c:lblOffset val="100"/>
      </c:catAx>
      <c:valAx>
        <c:axId val="182702848"/>
        <c:scaling>
          <c:orientation val="minMax"/>
        </c:scaling>
        <c:axPos val="l"/>
        <c:majorGridlines/>
        <c:numFmt formatCode="#,##0" sourceLinked="1"/>
        <c:tickLblPos val="nextTo"/>
        <c:crossAx val="182696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89636.664266129708</c:v>
                </c:pt>
                <c:pt idx="1">
                  <c:v>32997.100002529944</c:v>
                </c:pt>
                <c:pt idx="2">
                  <c:v>564.21299999999997</c:v>
                </c:pt>
                <c:pt idx="3">
                  <c:v>565832.75711209711</c:v>
                </c:pt>
                <c:pt idx="4">
                  <c:v>39915.181537798329</c:v>
                </c:pt>
                <c:pt idx="5">
                  <c:v>43401.856960444908</c:v>
                </c:pt>
                <c:pt idx="6">
                  <c:v>2142.0627006826112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16438.498651043519</c:v>
                </c:pt>
                <c:pt idx="1">
                  <c:v>6754.7566074909846</c:v>
                </c:pt>
                <c:pt idx="2">
                  <c:v>119.23835214147982</c:v>
                </c:pt>
                <c:pt idx="3">
                  <c:v>139652.07011914323</c:v>
                </c:pt>
                <c:pt idx="4">
                  <c:v>3987.2566099332503</c:v>
                </c:pt>
                <c:pt idx="5">
                  <c:v>10864.337102397272</c:v>
                </c:pt>
                <c:pt idx="6">
                  <c:v>510.69323830260862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0096"/>
        <c:axId val="183221632"/>
      </c:barChart>
      <c:catAx>
        <c:axId val="183220096"/>
        <c:scaling>
          <c:orientation val="minMax"/>
        </c:scaling>
        <c:axPos val="b"/>
        <c:numFmt formatCode="General" sourceLinked="0"/>
        <c:tickLblPos val="nextTo"/>
        <c:crossAx val="183221632"/>
        <c:crosses val="autoZero"/>
        <c:auto val="1"/>
        <c:lblAlgn val="ctr"/>
        <c:lblOffset val="100"/>
      </c:catAx>
      <c:valAx>
        <c:axId val="183221632"/>
        <c:scaling>
          <c:orientation val="minMax"/>
        </c:scaling>
        <c:axPos val="l"/>
        <c:majorGridlines/>
        <c:numFmt formatCode="#,##0" sourceLinked="1"/>
        <c:tickLblPos val="nextTo"/>
        <c:crossAx val="183220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16438.498651043519</c:v>
                </c:pt>
                <c:pt idx="1">
                  <c:v>6754.7566074909846</c:v>
                </c:pt>
                <c:pt idx="2">
                  <c:v>119.23835214147982</c:v>
                </c:pt>
                <c:pt idx="3">
                  <c:v>139652.07011914323</c:v>
                </c:pt>
                <c:pt idx="4">
                  <c:v>3987.2566099332503</c:v>
                </c:pt>
                <c:pt idx="5">
                  <c:v>10864.337102397272</c:v>
                </c:pt>
                <c:pt idx="6">
                  <c:v>510.69323830260862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11004</v>
      </c>
      <c r="B6" s="415"/>
      <c r="C6" s="416"/>
    </row>
    <row r="7" spans="1:7" s="413" customFormat="1" ht="15.75" customHeight="1">
      <c r="A7" s="417" t="str">
        <f>txtMunicipality</f>
        <v>BOECHOUT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5098</v>
      </c>
      <c r="C9" s="342">
        <v>5289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1020.87</v>
      </c>
    </row>
    <row r="15" spans="1:6">
      <c r="A15" s="348" t="s">
        <v>184</v>
      </c>
      <c r="B15" s="334">
        <v>2</v>
      </c>
    </row>
    <row r="16" spans="1:6">
      <c r="A16" s="348" t="s">
        <v>6</v>
      </c>
      <c r="B16" s="334">
        <v>33</v>
      </c>
    </row>
    <row r="17" spans="1:6">
      <c r="A17" s="348" t="s">
        <v>7</v>
      </c>
      <c r="B17" s="334">
        <v>131</v>
      </c>
    </row>
    <row r="18" spans="1:6">
      <c r="A18" s="348" t="s">
        <v>8</v>
      </c>
      <c r="B18" s="334">
        <v>134</v>
      </c>
    </row>
    <row r="19" spans="1:6">
      <c r="A19" s="348" t="s">
        <v>9</v>
      </c>
      <c r="B19" s="334">
        <v>81</v>
      </c>
    </row>
    <row r="20" spans="1:6">
      <c r="A20" s="348" t="s">
        <v>10</v>
      </c>
      <c r="B20" s="334">
        <v>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50</v>
      </c>
    </row>
    <row r="27" spans="1:6">
      <c r="A27" s="348" t="s">
        <v>17</v>
      </c>
      <c r="B27" s="334">
        <v>0</v>
      </c>
    </row>
    <row r="28" spans="1:6" s="356" customFormat="1">
      <c r="A28" s="355" t="s">
        <v>18</v>
      </c>
      <c r="B28" s="355">
        <v>20</v>
      </c>
    </row>
    <row r="29" spans="1:6">
      <c r="A29" s="355" t="s">
        <v>744</v>
      </c>
      <c r="B29" s="355">
        <v>102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106294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4094</v>
      </c>
      <c r="D39" s="334">
        <v>64899387.75</v>
      </c>
      <c r="E39" s="334">
        <v>5150</v>
      </c>
      <c r="F39" s="334">
        <v>18485867.800000004</v>
      </c>
    </row>
    <row r="40" spans="1:6">
      <c r="A40" s="348" t="s">
        <v>30</v>
      </c>
      <c r="B40" s="348" t="s">
        <v>29</v>
      </c>
      <c r="C40" s="334">
        <v>0</v>
      </c>
      <c r="D40" s="334">
        <v>0</v>
      </c>
      <c r="E40" s="334">
        <v>0</v>
      </c>
      <c r="F40" s="334">
        <v>0</v>
      </c>
    </row>
    <row r="41" spans="1:6">
      <c r="A41" s="348" t="s">
        <v>32</v>
      </c>
      <c r="B41" s="348" t="s">
        <v>33</v>
      </c>
      <c r="C41" s="334">
        <v>28</v>
      </c>
      <c r="D41" s="334">
        <v>618571.19999999995</v>
      </c>
      <c r="E41" s="334">
        <v>95</v>
      </c>
      <c r="F41" s="334">
        <v>3705096.65</v>
      </c>
    </row>
    <row r="42" spans="1:6">
      <c r="A42" s="348" t="s">
        <v>32</v>
      </c>
      <c r="B42" s="348" t="s">
        <v>34</v>
      </c>
      <c r="C42" s="334">
        <v>0</v>
      </c>
      <c r="D42" s="334">
        <v>0</v>
      </c>
      <c r="E42" s="334">
        <v>3</v>
      </c>
      <c r="F42" s="334">
        <v>6932</v>
      </c>
    </row>
    <row r="43" spans="1:6">
      <c r="A43" s="348" t="s">
        <v>32</v>
      </c>
      <c r="B43" s="348" t="s">
        <v>35</v>
      </c>
      <c r="C43" s="334">
        <v>0</v>
      </c>
      <c r="D43" s="334">
        <v>0</v>
      </c>
      <c r="E43" s="334">
        <v>0</v>
      </c>
      <c r="F43" s="334">
        <v>0</v>
      </c>
    </row>
    <row r="44" spans="1:6">
      <c r="A44" s="348" t="s">
        <v>32</v>
      </c>
      <c r="B44" s="348" t="s">
        <v>36</v>
      </c>
      <c r="C44" s="334">
        <v>6</v>
      </c>
      <c r="D44" s="334">
        <v>72461.8</v>
      </c>
      <c r="E44" s="334">
        <v>12</v>
      </c>
      <c r="F44" s="334">
        <v>79656.2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11</v>
      </c>
      <c r="D47" s="334">
        <v>1933992</v>
      </c>
      <c r="E47" s="334">
        <v>11</v>
      </c>
      <c r="F47" s="334">
        <v>7088784</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7</v>
      </c>
      <c r="D50" s="334">
        <v>290799</v>
      </c>
      <c r="E50" s="334">
        <v>8</v>
      </c>
      <c r="F50" s="334">
        <v>282718</v>
      </c>
    </row>
    <row r="51" spans="1:6">
      <c r="A51" s="348" t="s">
        <v>42</v>
      </c>
      <c r="B51" s="348" t="s">
        <v>43</v>
      </c>
      <c r="C51" s="334">
        <v>23</v>
      </c>
      <c r="D51" s="334">
        <v>276569246</v>
      </c>
      <c r="E51" s="334">
        <v>73</v>
      </c>
      <c r="F51" s="334">
        <v>79483434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564213</v>
      </c>
    </row>
    <row r="55" spans="1:6">
      <c r="A55" s="348" t="s">
        <v>46</v>
      </c>
      <c r="B55" s="348" t="s">
        <v>29</v>
      </c>
      <c r="C55" s="334">
        <v>0</v>
      </c>
      <c r="D55" s="334">
        <v>0</v>
      </c>
      <c r="E55" s="334">
        <v>0</v>
      </c>
      <c r="F55" s="334">
        <v>0</v>
      </c>
    </row>
    <row r="56" spans="1:6">
      <c r="A56" s="348" t="s">
        <v>48</v>
      </c>
      <c r="B56" s="348" t="s">
        <v>29</v>
      </c>
      <c r="C56" s="334">
        <v>3</v>
      </c>
      <c r="D56" s="334">
        <v>16523964</v>
      </c>
      <c r="E56" s="334">
        <v>6</v>
      </c>
      <c r="F56" s="334">
        <v>5732729</v>
      </c>
    </row>
    <row r="57" spans="1:6">
      <c r="A57" s="348" t="s">
        <v>49</v>
      </c>
      <c r="B57" s="348" t="s">
        <v>50</v>
      </c>
      <c r="C57" s="334">
        <v>29</v>
      </c>
      <c r="D57" s="334">
        <v>1147792</v>
      </c>
      <c r="E57" s="334">
        <v>56</v>
      </c>
      <c r="F57" s="334">
        <v>715068</v>
      </c>
    </row>
    <row r="58" spans="1:6">
      <c r="A58" s="348" t="s">
        <v>49</v>
      </c>
      <c r="B58" s="348" t="s">
        <v>51</v>
      </c>
      <c r="C58" s="334">
        <v>27</v>
      </c>
      <c r="D58" s="334">
        <v>7760793</v>
      </c>
      <c r="E58" s="334">
        <v>34</v>
      </c>
      <c r="F58" s="334">
        <v>1508823</v>
      </c>
    </row>
    <row r="59" spans="1:6">
      <c r="A59" s="348" t="s">
        <v>49</v>
      </c>
      <c r="B59" s="348" t="s">
        <v>52</v>
      </c>
      <c r="C59" s="334">
        <v>67</v>
      </c>
      <c r="D59" s="334">
        <v>3043898</v>
      </c>
      <c r="E59" s="334">
        <v>110</v>
      </c>
      <c r="F59" s="334">
        <v>2865473.5500000003</v>
      </c>
    </row>
    <row r="60" spans="1:6">
      <c r="A60" s="348" t="s">
        <v>49</v>
      </c>
      <c r="B60" s="348" t="s">
        <v>53</v>
      </c>
      <c r="C60" s="334">
        <v>24</v>
      </c>
      <c r="D60" s="334">
        <v>2211822</v>
      </c>
      <c r="E60" s="334">
        <v>39</v>
      </c>
      <c r="F60" s="334">
        <v>2487930</v>
      </c>
    </row>
    <row r="61" spans="1:6">
      <c r="A61" s="348" t="s">
        <v>49</v>
      </c>
      <c r="B61" s="348" t="s">
        <v>54</v>
      </c>
      <c r="C61" s="334">
        <v>159</v>
      </c>
      <c r="D61" s="334">
        <v>6455841.5999999996</v>
      </c>
      <c r="E61" s="334">
        <v>300</v>
      </c>
      <c r="F61" s="334">
        <v>2655658.65</v>
      </c>
    </row>
    <row r="62" spans="1:6">
      <c r="A62" s="348" t="s">
        <v>49</v>
      </c>
      <c r="B62" s="348" t="s">
        <v>55</v>
      </c>
      <c r="C62" s="334">
        <v>9</v>
      </c>
      <c r="D62" s="334">
        <v>1199841</v>
      </c>
      <c r="E62" s="334">
        <v>10</v>
      </c>
      <c r="F62" s="334">
        <v>522828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307130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44547992</v>
      </c>
      <c r="E73" s="476">
        <v>39949840.50195118</v>
      </c>
    </row>
    <row r="74" spans="1:6">
      <c r="A74" s="348" t="s">
        <v>64</v>
      </c>
      <c r="B74" s="348" t="s">
        <v>657</v>
      </c>
      <c r="C74" s="1213" t="s">
        <v>659</v>
      </c>
      <c r="D74" s="476">
        <v>4100425.3488012655</v>
      </c>
      <c r="E74" s="476">
        <v>3887585.1978464327</v>
      </c>
    </row>
    <row r="75" spans="1:6">
      <c r="A75" s="348" t="s">
        <v>65</v>
      </c>
      <c r="B75" s="348" t="s">
        <v>656</v>
      </c>
      <c r="C75" s="1213" t="s">
        <v>660</v>
      </c>
      <c r="D75" s="476">
        <v>5527049</v>
      </c>
      <c r="E75" s="476">
        <v>4986047.8472429849</v>
      </c>
    </row>
    <row r="76" spans="1:6">
      <c r="A76" s="348" t="s">
        <v>65</v>
      </c>
      <c r="B76" s="348" t="s">
        <v>657</v>
      </c>
      <c r="C76" s="1213" t="s">
        <v>661</v>
      </c>
      <c r="D76" s="476">
        <v>295820.3488012657</v>
      </c>
      <c r="E76" s="476">
        <v>270670.19900573377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380741.30239746865</v>
      </c>
      <c r="C83" s="476">
        <v>382417.03528552386</v>
      </c>
    </row>
    <row r="84" spans="1:6">
      <c r="A84" s="341" t="s">
        <v>337</v>
      </c>
      <c r="B84" s="1214">
        <v>209428.61131269688</v>
      </c>
      <c r="C84" s="1214">
        <v>209136.90490936241</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2138.324562717969</v>
      </c>
    </row>
    <row r="92" spans="1:6">
      <c r="A92" s="341" t="s">
        <v>69</v>
      </c>
      <c r="B92" s="342">
        <v>377.9685743179914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123348.7429546468</v>
      </c>
      <c r="C3" s="43" t="s">
        <v>170</v>
      </c>
      <c r="D3" s="43"/>
      <c r="E3" s="154"/>
      <c r="F3" s="43"/>
      <c r="G3" s="43"/>
      <c r="H3" s="43"/>
      <c r="I3" s="43"/>
      <c r="J3" s="43"/>
      <c r="K3" s="96"/>
    </row>
    <row r="4" spans="1:11">
      <c r="A4" s="383" t="s">
        <v>171</v>
      </c>
      <c r="B4" s="49">
        <f>IF(ISERROR('SEAP template'!B69),0,'SEAP template'!B69)</f>
        <v>109049.29313703596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22907.815147058827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0.21133570502891608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32725.450210084044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152190.00000000003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0.21503022675658084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564.21299999999997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564.21299999999997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0.21133570502891608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119.23835214147982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18485.867800000004</v>
      </c>
      <c r="C5" s="17">
        <f>IF(ISERROR('Eigen informatie GS &amp; warmtenet'!B57),0,'Eigen informatie GS &amp; warmtenet'!B57)</f>
        <v>0</v>
      </c>
      <c r="D5" s="30">
        <f>(SUM(HH_hh_gas_kWh,HH_rest_gas_kWh)/1000)*0.902</f>
        <v>58539.247750500006</v>
      </c>
      <c r="E5" s="17">
        <f>B46*B57</f>
        <v>1123.0941489670836</v>
      </c>
      <c r="F5" s="17">
        <f>B51*B62</f>
        <v>0</v>
      </c>
      <c r="G5" s="18"/>
      <c r="H5" s="17"/>
      <c r="I5" s="17"/>
      <c r="J5" s="17">
        <f>B50*B61+C50*C61</f>
        <v>0</v>
      </c>
      <c r="K5" s="17"/>
      <c r="L5" s="17"/>
      <c r="M5" s="17"/>
      <c r="N5" s="17">
        <f>B48*B59+C48*C59</f>
        <v>8350.78667061132</v>
      </c>
      <c r="O5" s="17">
        <f>B69*B70*B71</f>
        <v>198.54333333333332</v>
      </c>
      <c r="P5" s="17">
        <f>B77*B78*B79/1000-B77*B78*B79/1000/B80</f>
        <v>800.8</v>
      </c>
    </row>
    <row r="6" spans="1:16">
      <c r="A6" s="16" t="s">
        <v>621</v>
      </c>
      <c r="B6" s="843">
        <f>kWh_PV_kleiner_dan_10kW</f>
        <v>2138.324562717969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20624.192362717971</v>
      </c>
      <c r="C8" s="21">
        <f>C5</f>
        <v>0</v>
      </c>
      <c r="D8" s="21">
        <f>D5</f>
        <v>58539.247750500006</v>
      </c>
      <c r="E8" s="21">
        <f>E5</f>
        <v>1123.0941489670836</v>
      </c>
      <c r="F8" s="21">
        <f>F5</f>
        <v>0</v>
      </c>
      <c r="G8" s="21"/>
      <c r="H8" s="21"/>
      <c r="I8" s="21"/>
      <c r="J8" s="21">
        <f>J5</f>
        <v>0</v>
      </c>
      <c r="K8" s="21"/>
      <c r="L8" s="21">
        <f>L5</f>
        <v>0</v>
      </c>
      <c r="M8" s="21">
        <f>M5</f>
        <v>0</v>
      </c>
      <c r="N8" s="21">
        <f>N5</f>
        <v>8350.78667061132</v>
      </c>
      <c r="O8" s="21">
        <f>O5</f>
        <v>198.54333333333332</v>
      </c>
      <c r="P8" s="21">
        <f>P5</f>
        <v>800.8</v>
      </c>
    </row>
    <row r="9" spans="1:16">
      <c r="B9" s="19"/>
      <c r="C9" s="19"/>
      <c r="D9" s="258"/>
      <c r="E9" s="19"/>
      <c r="F9" s="19"/>
      <c r="G9" s="19"/>
      <c r="H9" s="19"/>
      <c r="I9" s="19"/>
      <c r="J9" s="19"/>
      <c r="K9" s="19"/>
      <c r="L9" s="19"/>
      <c r="M9" s="19"/>
      <c r="N9" s="19"/>
      <c r="O9" s="19"/>
      <c r="P9" s="19"/>
    </row>
    <row r="10" spans="1:16">
      <c r="A10" s="24" t="s">
        <v>214</v>
      </c>
      <c r="B10" s="25">
        <f ca="1">'EF ele_warmte'!B12</f>
        <v>0.21133570502891608</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4358.6282336269887</v>
      </c>
      <c r="C12" s="23">
        <f ca="1">C10*C8</f>
        <v>0</v>
      </c>
      <c r="D12" s="23">
        <f>D8*D10</f>
        <v>11824.928045601002</v>
      </c>
      <c r="E12" s="23">
        <f>E10*E8</f>
        <v>254.94237181552799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5098</v>
      </c>
      <c r="C28" s="36"/>
      <c r="D28" s="228"/>
    </row>
    <row r="29" spans="1:7" s="15" customFormat="1">
      <c r="A29" s="230" t="s">
        <v>795</v>
      </c>
      <c r="B29" s="37">
        <f>SUM(HH_hh_gas_aantal,HH_rest_gas_aantal)</f>
        <v>4094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4094</v>
      </c>
      <c r="C32" s="167">
        <f>IF(ISERROR(B32/SUM($B$32,$B$34,$B$35,$B$36,$B$38,$B$39)*100),0,B32/SUM($B$32,$B$34,$B$35,$B$36,$B$38,$B$39)*100)</f>
        <v>80.973101265822763</v>
      </c>
      <c r="D32" s="233"/>
      <c r="G32" s="15"/>
    </row>
    <row r="33" spans="1:7">
      <c r="A33" s="171" t="s">
        <v>72</v>
      </c>
      <c r="B33" s="34" t="s">
        <v>111</v>
      </c>
      <c r="C33" s="167"/>
      <c r="D33" s="233"/>
      <c r="G33" s="15"/>
    </row>
    <row r="34" spans="1:7">
      <c r="A34" s="171" t="s">
        <v>73</v>
      </c>
      <c r="B34" s="33">
        <f>IF((($B$28-$B$32-$B$39-$B$77-$B$38)*C20/100)&lt;0,0,($B$28-$B$32-$B$39-$B$77-$B$38)*C20/100)</f>
        <v>53.042606516290725</v>
      </c>
      <c r="C34" s="167">
        <f>IF(ISERROR(B34/SUM($B$32,$B$34,$B$35,$B$36,$B$38,$B$39)*100),0,B34/SUM($B$32,$B$34,$B$35,$B$36,$B$38,$B$39)*100)</f>
        <v>1.0491021858443574</v>
      </c>
      <c r="D34" s="233"/>
      <c r="G34" s="15"/>
    </row>
    <row r="35" spans="1:7">
      <c r="A35" s="171" t="s">
        <v>74</v>
      </c>
      <c r="B35" s="33">
        <f>IF((($B$28-$B$32-$B$39-$B$77-$B$38)*C21/100)&lt;0,0,($B$28-$B$32-$B$39-$B$77-$B$38)*C21/100)</f>
        <v>793.22807017543857</v>
      </c>
      <c r="C35" s="167">
        <f>IF(ISERROR(B35/SUM($B$32,$B$34,$B$35,$B$36,$B$38,$B$39)*100),0,B35/SUM($B$32,$B$34,$B$35,$B$36,$B$38,$B$39)*100)</f>
        <v>15.688846324672436</v>
      </c>
      <c r="D35" s="233"/>
      <c r="G35" s="15"/>
    </row>
    <row r="36" spans="1:7">
      <c r="A36" s="171" t="s">
        <v>75</v>
      </c>
      <c r="B36" s="33">
        <f>IF((($B$28-$B$32-$B$39-$B$77-$B$38)*C22/100)&lt;0,0,($B$28-$B$32-$B$39-$B$77-$B$38)*C22/100)</f>
        <v>115.72932330827066</v>
      </c>
      <c r="C36" s="167">
        <f>IF(ISERROR(B36/SUM($B$32,$B$34,$B$35,$B$36,$B$38,$B$39)*100),0,B36/SUM($B$32,$B$34,$B$35,$B$36,$B$38,$B$39)*100)</f>
        <v>2.2889502236604162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4094</v>
      </c>
      <c r="C44" s="34" t="s">
        <v>111</v>
      </c>
      <c r="D44" s="174"/>
    </row>
    <row r="45" spans="1:7">
      <c r="A45" s="171" t="s">
        <v>72</v>
      </c>
      <c r="B45" s="33" t="str">
        <f t="shared" si="0"/>
        <v>-</v>
      </c>
      <c r="C45" s="34" t="s">
        <v>111</v>
      </c>
      <c r="D45" s="174"/>
    </row>
    <row r="46" spans="1:7">
      <c r="A46" s="171" t="s">
        <v>73</v>
      </c>
      <c r="B46" s="33">
        <f t="shared" si="0"/>
        <v>53.042606516290725</v>
      </c>
      <c r="C46" s="34" t="s">
        <v>111</v>
      </c>
      <c r="D46" s="174"/>
    </row>
    <row r="47" spans="1:7">
      <c r="A47" s="171" t="s">
        <v>74</v>
      </c>
      <c r="B47" s="33">
        <f t="shared" si="0"/>
        <v>793.22807017543857</v>
      </c>
      <c r="C47" s="34" t="s">
        <v>111</v>
      </c>
      <c r="D47" s="174"/>
    </row>
    <row r="48" spans="1:7">
      <c r="A48" s="171" t="s">
        <v>75</v>
      </c>
      <c r="B48" s="33">
        <f t="shared" si="0"/>
        <v>115.72932330827066</v>
      </c>
      <c r="C48" s="33">
        <f>B48*10</f>
        <v>1157.2932330827066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10755.781199999999</v>
      </c>
      <c r="C5" s="17">
        <f>IF(ISERROR('Eigen informatie GS &amp; warmtenet'!B58),0,'Eigen informatie GS &amp; warmtenet'!B58)</f>
        <v>0</v>
      </c>
      <c r="D5" s="30">
        <f>SUM(D6:D12)</f>
        <v>19681.628815199998</v>
      </c>
      <c r="E5" s="17">
        <f>SUM(E6:E12)</f>
        <v>148.40919542521925</v>
      </c>
      <c r="F5" s="17">
        <f>SUM(F6:F12)</f>
        <v>1768.8861493327872</v>
      </c>
      <c r="G5" s="18"/>
      <c r="H5" s="17"/>
      <c r="I5" s="17"/>
      <c r="J5" s="17">
        <f>SUM(J6:J12)</f>
        <v>1.5521323290836025E-2</v>
      </c>
      <c r="K5" s="17"/>
      <c r="L5" s="17"/>
      <c r="M5" s="17"/>
      <c r="N5" s="17">
        <f>SUM(N6:N12)</f>
        <v>639.25245458198765</v>
      </c>
      <c r="O5" s="17">
        <f>B38*B39*B40</f>
        <v>3.1266666666666669</v>
      </c>
      <c r="P5" s="17">
        <f>B46*B47*B48/1000-B46*B47*B48/1000/B49</f>
        <v>0</v>
      </c>
      <c r="R5" s="32"/>
    </row>
    <row r="6" spans="1:18">
      <c r="A6" s="32" t="s">
        <v>54</v>
      </c>
      <c r="B6" s="37">
        <f>B26</f>
        <v>2655.6586499999999</v>
      </c>
      <c r="C6" s="33"/>
      <c r="D6" s="37">
        <f>IF(ISERROR(TER_kantoor_gas_kWh/1000),0,TER_kantoor_gas_kWh/1000)*0.902</f>
        <v>5823.1691232000003</v>
      </c>
      <c r="E6" s="33">
        <f>$C$26*'E Balans VL '!I12/100/3.6*1000000</f>
        <v>1.6644785159970494E-2</v>
      </c>
      <c r="F6" s="33">
        <f>$C$26*('E Balans VL '!L12+'E Balans VL '!N12)/100/3.6*1000000</f>
        <v>399.07128891499639</v>
      </c>
      <c r="G6" s="34"/>
      <c r="H6" s="33"/>
      <c r="I6" s="33"/>
      <c r="J6" s="33">
        <f>$C$26*('E Balans VL '!D12+'E Balans VL '!E12)/100/3.6*1000000</f>
        <v>0</v>
      </c>
      <c r="K6" s="33"/>
      <c r="L6" s="33"/>
      <c r="M6" s="33"/>
      <c r="N6" s="33">
        <f>$C$26*'E Balans VL '!Y12/100/3.6*1000000</f>
        <v>2.5397437541189638</v>
      </c>
      <c r="O6" s="33"/>
      <c r="P6" s="33"/>
      <c r="R6" s="32"/>
    </row>
    <row r="7" spans="1:18">
      <c r="A7" s="32" t="s">
        <v>53</v>
      </c>
      <c r="B7" s="37">
        <f t="shared" ref="B7:B12" si="0">B27</f>
        <v>2487.9299999999998</v>
      </c>
      <c r="C7" s="33"/>
      <c r="D7" s="37">
        <f>IF(ISERROR(TER_horeca_gas_kWh/1000),0,TER_horeca_gas_kWh/1000)*0.902</f>
        <v>1995.0634440000001</v>
      </c>
      <c r="E7" s="33">
        <f>$C$27*'E Balans VL '!I9/100/3.6*1000000</f>
        <v>35.626743189972068</v>
      </c>
      <c r="F7" s="33">
        <f>$C$27*('E Balans VL '!L9+'E Balans VL '!N9)/100/3.6*1000000</f>
        <v>315.05399309264328</v>
      </c>
      <c r="G7" s="34"/>
      <c r="H7" s="33"/>
      <c r="I7" s="33"/>
      <c r="J7" s="33">
        <f>$C$27*('E Balans VL '!D9+'E Balans VL '!E9)/100/3.6*1000000</f>
        <v>0</v>
      </c>
      <c r="K7" s="33"/>
      <c r="L7" s="33"/>
      <c r="M7" s="33"/>
      <c r="N7" s="33">
        <f>$C$27*'E Balans VL '!Y9/100/3.6*1000000</f>
        <v>0.71522502085216144</v>
      </c>
      <c r="O7" s="33"/>
      <c r="P7" s="33"/>
      <c r="R7" s="32"/>
    </row>
    <row r="8" spans="1:18">
      <c r="A8" s="6" t="s">
        <v>52</v>
      </c>
      <c r="B8" s="37">
        <f t="shared" si="0"/>
        <v>2865.4735500000002</v>
      </c>
      <c r="C8" s="33"/>
      <c r="D8" s="37">
        <f>IF(ISERROR(TER_handel_gas_kWh/1000),0,TER_handel_gas_kWh/1000)*0.902</f>
        <v>2745.595996</v>
      </c>
      <c r="E8" s="33">
        <f>$C$28*'E Balans VL '!I13/100/3.6*1000000</f>
        <v>103.93037230413263</v>
      </c>
      <c r="F8" s="33">
        <f>$C$28*('E Balans VL '!L13+'E Balans VL '!N13)/100/3.6*1000000</f>
        <v>551.91922049439484</v>
      </c>
      <c r="G8" s="34"/>
      <c r="H8" s="33"/>
      <c r="I8" s="33"/>
      <c r="J8" s="33">
        <f>$C$28*('E Balans VL '!D13+'E Balans VL '!E13)/100/3.6*1000000</f>
        <v>0</v>
      </c>
      <c r="K8" s="33"/>
      <c r="L8" s="33"/>
      <c r="M8" s="33"/>
      <c r="N8" s="33">
        <f>$C$28*'E Balans VL '!Y13/100/3.6*1000000</f>
        <v>3.9693401828092396</v>
      </c>
      <c r="O8" s="33"/>
      <c r="P8" s="33"/>
      <c r="R8" s="32"/>
    </row>
    <row r="9" spans="1:18">
      <c r="A9" s="32" t="s">
        <v>51</v>
      </c>
      <c r="B9" s="37">
        <f t="shared" si="0"/>
        <v>1508.8230000000001</v>
      </c>
      <c r="C9" s="33"/>
      <c r="D9" s="37">
        <f>IF(ISERROR(TER_gezond_gas_kWh/1000),0,TER_gezond_gas_kWh/1000)*0.902</f>
        <v>7000.2352860000001</v>
      </c>
      <c r="E9" s="33">
        <f>$C$29*'E Balans VL '!I10/100/3.6*1000000</f>
        <v>9.4467216735837939E-2</v>
      </c>
      <c r="F9" s="33">
        <f>$C$29*('E Balans VL '!L10+'E Balans VL '!N10)/100/3.6*1000000</f>
        <v>224.14025057853243</v>
      </c>
      <c r="G9" s="34"/>
      <c r="H9" s="33"/>
      <c r="I9" s="33"/>
      <c r="J9" s="33">
        <f>$C$29*('E Balans VL '!D10+'E Balans VL '!E10)/100/3.6*1000000</f>
        <v>0</v>
      </c>
      <c r="K9" s="33"/>
      <c r="L9" s="33"/>
      <c r="M9" s="33"/>
      <c r="N9" s="33">
        <f>$C$29*'E Balans VL '!Y10/100/3.6*1000000</f>
        <v>23.33861975297453</v>
      </c>
      <c r="O9" s="33"/>
      <c r="P9" s="33"/>
      <c r="R9" s="32"/>
    </row>
    <row r="10" spans="1:18">
      <c r="A10" s="32" t="s">
        <v>50</v>
      </c>
      <c r="B10" s="37">
        <f t="shared" si="0"/>
        <v>715.06799999999998</v>
      </c>
      <c r="C10" s="33"/>
      <c r="D10" s="37">
        <f>IF(ISERROR(TER_ander_gas_kWh/1000),0,TER_ander_gas_kWh/1000)*0.902</f>
        <v>1035.3083839999999</v>
      </c>
      <c r="E10" s="33">
        <f>$C$30*'E Balans VL '!I14/100/3.6*1000000</f>
        <v>0.85233550378724532</v>
      </c>
      <c r="F10" s="33">
        <f>$C$30*('E Balans VL '!L14+'E Balans VL '!N14)/100/3.6*1000000</f>
        <v>187.09357822643858</v>
      </c>
      <c r="G10" s="34"/>
      <c r="H10" s="33"/>
      <c r="I10" s="33"/>
      <c r="J10" s="33">
        <f>$C$30*('E Balans VL '!D14+'E Balans VL '!E14)/100/3.6*1000000</f>
        <v>1.5521323290836025E-2</v>
      </c>
      <c r="K10" s="33"/>
      <c r="L10" s="33"/>
      <c r="M10" s="33"/>
      <c r="N10" s="33">
        <f>$C$30*'E Balans VL '!Y14/100/3.6*1000000</f>
        <v>607.21824813233457</v>
      </c>
      <c r="O10" s="33"/>
      <c r="P10" s="33"/>
      <c r="R10" s="32"/>
    </row>
    <row r="11" spans="1:18">
      <c r="A11" s="32" t="s">
        <v>55</v>
      </c>
      <c r="B11" s="37">
        <f t="shared" si="0"/>
        <v>522.82799999999997</v>
      </c>
      <c r="C11" s="33"/>
      <c r="D11" s="37">
        <f>IF(ISERROR(TER_onderwijs_gas_kWh/1000),0,TER_onderwijs_gas_kWh/1000)*0.902</f>
        <v>1082.256582</v>
      </c>
      <c r="E11" s="33">
        <f>$C$31*'E Balans VL '!I11/100/3.6*1000000</f>
        <v>7.8886324254314832</v>
      </c>
      <c r="F11" s="33">
        <f>$C$31*('E Balans VL '!L11+'E Balans VL '!N11)/100/3.6*1000000</f>
        <v>91.607818025781867</v>
      </c>
      <c r="G11" s="34"/>
      <c r="H11" s="33"/>
      <c r="I11" s="33"/>
      <c r="J11" s="33">
        <f>$C$31*('E Balans VL '!D11+'E Balans VL '!E11)/100/3.6*1000000</f>
        <v>0</v>
      </c>
      <c r="K11" s="33"/>
      <c r="L11" s="33"/>
      <c r="M11" s="33"/>
      <c r="N11" s="33">
        <f>$C$31*'E Balans VL '!Y11/100/3.6*1000000</f>
        <v>1.4712777388981961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10755.781199999999</v>
      </c>
      <c r="C16" s="21">
        <f t="shared" ca="1" si="1"/>
        <v>0</v>
      </c>
      <c r="D16" s="21">
        <f t="shared" ca="1" si="1"/>
        <v>19681.628815199998</v>
      </c>
      <c r="E16" s="21">
        <f t="shared" si="1"/>
        <v>148.40919542521925</v>
      </c>
      <c r="F16" s="21">
        <f t="shared" ca="1" si="1"/>
        <v>1768.8861493327872</v>
      </c>
      <c r="G16" s="21">
        <f t="shared" si="1"/>
        <v>0</v>
      </c>
      <c r="H16" s="21">
        <f t="shared" si="1"/>
        <v>0</v>
      </c>
      <c r="I16" s="21">
        <f t="shared" si="1"/>
        <v>0</v>
      </c>
      <c r="J16" s="21">
        <f t="shared" si="1"/>
        <v>1.5521323290836025E-2</v>
      </c>
      <c r="K16" s="21">
        <f t="shared" si="1"/>
        <v>0</v>
      </c>
      <c r="L16" s="21">
        <f t="shared" ca="1" si="1"/>
        <v>0</v>
      </c>
      <c r="M16" s="21">
        <f t="shared" si="1"/>
        <v>0</v>
      </c>
      <c r="N16" s="21">
        <f t="shared" ca="1" si="1"/>
        <v>639.25245458198765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0.21133570502891608</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2273.0806030387607</v>
      </c>
      <c r="C20" s="23">
        <f t="shared" ref="C20:P20" ca="1" si="2">C16*C18</f>
        <v>0</v>
      </c>
      <c r="D20" s="23">
        <f t="shared" ca="1" si="2"/>
        <v>3975.6890206703997</v>
      </c>
      <c r="E20" s="23">
        <f t="shared" si="2"/>
        <v>33.68888736152477</v>
      </c>
      <c r="F20" s="23">
        <f t="shared" ca="1" si="2"/>
        <v>472.29260187185423</v>
      </c>
      <c r="G20" s="23">
        <f t="shared" si="2"/>
        <v>0</v>
      </c>
      <c r="H20" s="23">
        <f t="shared" si="2"/>
        <v>0</v>
      </c>
      <c r="I20" s="23">
        <f t="shared" si="2"/>
        <v>0</v>
      </c>
      <c r="J20" s="23">
        <f t="shared" si="2"/>
        <v>5.4945484449559524E-3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2655.6586499999999</v>
      </c>
      <c r="C26" s="39">
        <f>IF(ISERROR(B26*3.6/1000000/'E Balans VL '!Z12*100),0,B26*3.6/1000000/'E Balans VL '!Z12*100)</f>
        <v>5.6136416957885502E-2</v>
      </c>
      <c r="D26" s="237" t="s">
        <v>754</v>
      </c>
      <c r="F26" s="6"/>
    </row>
    <row r="27" spans="1:18">
      <c r="A27" s="231" t="s">
        <v>53</v>
      </c>
      <c r="B27" s="33">
        <f>IF(ISERROR(TER_horeca_ele_kWh/1000),0,TER_horeca_ele_kWh/1000)</f>
        <v>2487.9299999999998</v>
      </c>
      <c r="C27" s="39">
        <f>IF(ISERROR(B27*3.6/1000000/'E Balans VL '!Z9*100),0,B27*3.6/1000000/'E Balans VL '!Z9*100)</f>
        <v>0.19612259460114861</v>
      </c>
      <c r="D27" s="237" t="s">
        <v>754</v>
      </c>
      <c r="F27" s="6"/>
    </row>
    <row r="28" spans="1:18">
      <c r="A28" s="171" t="s">
        <v>52</v>
      </c>
      <c r="B28" s="33">
        <f>IF(ISERROR(TER_handel_ele_kWh/1000),0,TER_handel_ele_kWh/1000)</f>
        <v>2865.4735500000002</v>
      </c>
      <c r="C28" s="39">
        <f>IF(ISERROR(B28*3.6/1000000/'E Balans VL '!Z13*100),0,B28*3.6/1000000/'E Balans VL '!Z13*100)</f>
        <v>8.316762023150634E-2</v>
      </c>
      <c r="D28" s="237" t="s">
        <v>754</v>
      </c>
      <c r="F28" s="6"/>
    </row>
    <row r="29" spans="1:18">
      <c r="A29" s="231" t="s">
        <v>51</v>
      </c>
      <c r="B29" s="33">
        <f>IF(ISERROR(TER_gezond_ele_kWh/1000),0,TER_gezond_ele_kWh/1000)</f>
        <v>1508.8230000000001</v>
      </c>
      <c r="C29" s="39">
        <f>IF(ISERROR(B29*3.6/1000000/'E Balans VL '!Z10*100),0,B29*3.6/1000000/'E Balans VL '!Z10*100)</f>
        <v>0.15890383742763819</v>
      </c>
      <c r="D29" s="237" t="s">
        <v>754</v>
      </c>
      <c r="F29" s="6"/>
    </row>
    <row r="30" spans="1:18">
      <c r="A30" s="231" t="s">
        <v>50</v>
      </c>
      <c r="B30" s="33">
        <f>IF(ISERROR(TER_ander_ele_kWh/1000),0,TER_ander_ele_kWh/1000)</f>
        <v>715.06799999999998</v>
      </c>
      <c r="C30" s="39">
        <f>IF(ISERROR(B30*3.6/1000000/'E Balans VL '!Z14*100),0,B30*3.6/1000000/'E Balans VL '!Z14*100)</f>
        <v>5.274357099199703E-2</v>
      </c>
      <c r="D30" s="237" t="s">
        <v>754</v>
      </c>
      <c r="F30" s="6"/>
    </row>
    <row r="31" spans="1:18">
      <c r="A31" s="231" t="s">
        <v>55</v>
      </c>
      <c r="B31" s="33">
        <f>IF(ISERROR(TER_onderwijs_ele_kWh/1000),0,TER_onderwijs_ele_kWh/1000)</f>
        <v>522.82799999999997</v>
      </c>
      <c r="C31" s="39">
        <f>IF(ISERROR(B31*3.6/1000000/'E Balans VL '!Z11*100),0,B31*3.6/1000000/'E Balans VL '!Z11*100)</f>
        <v>0.12984268310582808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11163.18685</v>
      </c>
      <c r="C5" s="17">
        <f>IF(ISERROR('Eigen informatie GS &amp; warmtenet'!B59),0,'Eigen informatie GS &amp; warmtenet'!B59)</f>
        <v>0</v>
      </c>
      <c r="D5" s="30">
        <f>SUM(D6:D15)</f>
        <v>2630.0732480000001</v>
      </c>
      <c r="E5" s="17">
        <f>SUM(E6:E15)</f>
        <v>1094.4767645595648</v>
      </c>
      <c r="F5" s="17">
        <f>SUM(F6:F15)</f>
        <v>3175.9083076039378</v>
      </c>
      <c r="G5" s="18"/>
      <c r="H5" s="17"/>
      <c r="I5" s="17"/>
      <c r="J5" s="17">
        <f>SUM(J6:J15)</f>
        <v>1.0963469991597965</v>
      </c>
      <c r="K5" s="17"/>
      <c r="L5" s="17"/>
      <c r="M5" s="17"/>
      <c r="N5" s="17">
        <f>SUM(N6:N15)</f>
        <v>21850.440020635662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79.656199999999998</v>
      </c>
      <c r="C8" s="33"/>
      <c r="D8" s="37">
        <f>IF( ISERROR(IND_metaal_Gas_kWH/1000),0,IND_metaal_Gas_kWH/1000)*0.902</f>
        <v>65.3605436</v>
      </c>
      <c r="E8" s="33">
        <f>C30*'E Balans VL '!I18/100/3.6*1000000</f>
        <v>0.73236182631040792</v>
      </c>
      <c r="F8" s="33">
        <f>C30*'E Balans VL '!L18/100/3.6*1000000+C30*'E Balans VL '!N18/100/3.6*1000000</f>
        <v>7.4690995366520383</v>
      </c>
      <c r="G8" s="34"/>
      <c r="H8" s="33"/>
      <c r="I8" s="33"/>
      <c r="J8" s="40">
        <f>C30*'E Balans VL '!D18/100/3.6*1000000+C30*'E Balans VL '!E18/100/3.6*1000000</f>
        <v>0</v>
      </c>
      <c r="K8" s="33"/>
      <c r="L8" s="33"/>
      <c r="M8" s="33"/>
      <c r="N8" s="33">
        <f>C30*'E Balans VL '!Y18/100/3.6*1000000</f>
        <v>1.1364273304138897</v>
      </c>
      <c r="O8" s="33"/>
      <c r="P8" s="33"/>
      <c r="R8" s="32"/>
    </row>
    <row r="9" spans="1:18">
      <c r="A9" s="6" t="s">
        <v>33</v>
      </c>
      <c r="B9" s="37">
        <f t="shared" si="0"/>
        <v>3705.09665</v>
      </c>
      <c r="C9" s="33"/>
      <c r="D9" s="37">
        <f>IF( ISERROR(IND_andere_gas_kWh/1000),0,IND_andere_gas_kWh/1000)*0.902</f>
        <v>557.95122240000001</v>
      </c>
      <c r="E9" s="33">
        <f>C31*'E Balans VL '!I19/100/3.6*1000000</f>
        <v>1083.0718805191239</v>
      </c>
      <c r="F9" s="33">
        <f>C31*'E Balans VL '!L19/100/3.6*1000000+C31*'E Balans VL '!N19/100/3.6*1000000</f>
        <v>2977.325608321994</v>
      </c>
      <c r="G9" s="34"/>
      <c r="H9" s="33"/>
      <c r="I9" s="33"/>
      <c r="J9" s="40">
        <f>C31*'E Balans VL '!D19/100/3.6*1000000+C31*'E Balans VL '!E19/100/3.6*1000000</f>
        <v>0</v>
      </c>
      <c r="K9" s="33"/>
      <c r="L9" s="33"/>
      <c r="M9" s="33"/>
      <c r="N9" s="33">
        <f>C31*'E Balans VL '!Y19/100/3.6*1000000</f>
        <v>1224.221395134984</v>
      </c>
      <c r="O9" s="33"/>
      <c r="P9" s="33"/>
      <c r="R9" s="32"/>
    </row>
    <row r="10" spans="1:18">
      <c r="A10" s="6" t="s">
        <v>41</v>
      </c>
      <c r="B10" s="37">
        <f t="shared" si="0"/>
        <v>282.71800000000002</v>
      </c>
      <c r="C10" s="33"/>
      <c r="D10" s="37">
        <f>IF( ISERROR(IND_voed_gas_kWh/1000),0,IND_voed_gas_kWh/1000)*0.902</f>
        <v>262.30069800000001</v>
      </c>
      <c r="E10" s="33">
        <f>C32*'E Balans VL '!I20/100/3.6*1000000</f>
        <v>0.59809431259450885</v>
      </c>
      <c r="F10" s="33">
        <f>C32*'E Balans VL '!L20/100/3.6*1000000+C32*'E Balans VL '!N20/100/3.6*1000000</f>
        <v>17.975499227968424</v>
      </c>
      <c r="G10" s="34"/>
      <c r="H10" s="33"/>
      <c r="I10" s="33"/>
      <c r="J10" s="40">
        <f>C32*'E Balans VL '!D20/100/3.6*1000000+C32*'E Balans VL '!E20/100/3.6*1000000</f>
        <v>0</v>
      </c>
      <c r="K10" s="33"/>
      <c r="L10" s="33"/>
      <c r="M10" s="33"/>
      <c r="N10" s="33">
        <f>C32*'E Balans VL '!Y20/100/3.6*1000000</f>
        <v>19.510331929394763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7088.7839999999997</v>
      </c>
      <c r="C13" s="33"/>
      <c r="D13" s="37">
        <f>IF( ISERROR(IND_papier_gas_kWh/1000),0,IND_papier_gas_kWh/1000)*0.902</f>
        <v>1744.4607840000001</v>
      </c>
      <c r="E13" s="33">
        <f>C35*'E Balans VL '!I23/100/3.6*1000000</f>
        <v>10.057363303684483</v>
      </c>
      <c r="F13" s="33">
        <f>C35*'E Balans VL '!L23/100/3.6*1000000+C35*'E Balans VL '!N23/100/3.6*1000000</f>
        <v>173.06387298644063</v>
      </c>
      <c r="G13" s="34"/>
      <c r="H13" s="33"/>
      <c r="I13" s="33"/>
      <c r="J13" s="40">
        <f>C35*'E Balans VL '!D23/100/3.6*1000000+C35*'E Balans VL '!E23/100/3.6*1000000</f>
        <v>1.0963469991597965</v>
      </c>
      <c r="K13" s="33"/>
      <c r="L13" s="33"/>
      <c r="M13" s="33"/>
      <c r="N13" s="33">
        <f>C35*'E Balans VL '!Y23/100/3.6*1000000</f>
        <v>20605.417057569066</v>
      </c>
      <c r="O13" s="33"/>
      <c r="P13" s="33"/>
      <c r="R13" s="32"/>
    </row>
    <row r="14" spans="1:18">
      <c r="A14" s="6" t="s">
        <v>34</v>
      </c>
      <c r="B14" s="37">
        <f t="shared" si="0"/>
        <v>6.9320000000000004</v>
      </c>
      <c r="C14" s="33"/>
      <c r="D14" s="37">
        <f>IF( ISERROR(IND_chemie_gas_kWh/1000),0,IND_chemie_gas_kWh/1000)*0.902</f>
        <v>0</v>
      </c>
      <c r="E14" s="33">
        <f>C36*'E Balans VL '!I24/100/3.6*1000000</f>
        <v>1.7064597851637123E-2</v>
      </c>
      <c r="F14" s="33">
        <f>C36*'E Balans VL '!L24/100/3.6*1000000+C36*'E Balans VL '!N24/100/3.6*1000000</f>
        <v>7.4227530883055087E-2</v>
      </c>
      <c r="G14" s="34"/>
      <c r="H14" s="33"/>
      <c r="I14" s="33"/>
      <c r="J14" s="40">
        <f>C36*'E Balans VL '!D24/100/3.6*1000000+C36*'E Balans VL '!E24/100/3.6*1000000</f>
        <v>0</v>
      </c>
      <c r="K14" s="33"/>
      <c r="L14" s="33"/>
      <c r="M14" s="33"/>
      <c r="N14" s="33">
        <f>C36*'E Balans VL '!Y24/100/3.6*1000000</f>
        <v>0.15480867180294189</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11163.18685</v>
      </c>
      <c r="C18" s="21">
        <f>C5+C16</f>
        <v>0</v>
      </c>
      <c r="D18" s="21">
        <f>MAX((D5+D16),0)</f>
        <v>2630.0732480000001</v>
      </c>
      <c r="E18" s="21">
        <f>MAX((E5+E16),0)</f>
        <v>1094.4767645595648</v>
      </c>
      <c r="F18" s="21">
        <f>MAX((F5+F16),0)</f>
        <v>3175.9083076039378</v>
      </c>
      <c r="G18" s="21"/>
      <c r="H18" s="21"/>
      <c r="I18" s="21"/>
      <c r="J18" s="21">
        <f>MAX((J5+J16),0)</f>
        <v>1.0963469991597965</v>
      </c>
      <c r="K18" s="21"/>
      <c r="L18" s="21">
        <f>MAX((L5+L16),0)</f>
        <v>0</v>
      </c>
      <c r="M18" s="21"/>
      <c r="N18" s="21">
        <f>MAX((N5+N16),0)</f>
        <v>21850.440020635662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0.21133570502891608</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2359.179963314275</v>
      </c>
      <c r="C22" s="23">
        <f ca="1">C18*C20</f>
        <v>0</v>
      </c>
      <c r="D22" s="23">
        <f>D18*D20</f>
        <v>531.27479609600005</v>
      </c>
      <c r="E22" s="23">
        <f>E18*E20</f>
        <v>248.44622555502121</v>
      </c>
      <c r="F22" s="23">
        <f>F18*F20</f>
        <v>847.96751813025139</v>
      </c>
      <c r="G22" s="23"/>
      <c r="H22" s="23"/>
      <c r="I22" s="23"/>
      <c r="J22" s="23">
        <f>J18*J20</f>
        <v>0.38810683770256793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79.656199999999998</v>
      </c>
      <c r="C30" s="39">
        <f>IF(ISERROR(B30*3.6/1000000/'E Balans VL '!Z18*100),0,B30*3.6/1000000/'E Balans VL '!Z18*100)</f>
        <v>4.5143211058558605E-3</v>
      </c>
      <c r="D30" s="237" t="s">
        <v>754</v>
      </c>
    </row>
    <row r="31" spans="1:18">
      <c r="A31" s="6" t="s">
        <v>33</v>
      </c>
      <c r="B31" s="37">
        <f>IF( ISERROR(IND_ander_ele_kWh/1000),0,IND_ander_ele_kWh/1000)</f>
        <v>3705.09665</v>
      </c>
      <c r="C31" s="39">
        <f>IF(ISERROR(B31*3.6/1000000/'E Balans VL '!Z19*100),0,B31*3.6/1000000/'E Balans VL '!Z19*100)</f>
        <v>0.16804775629006474</v>
      </c>
      <c r="D31" s="237" t="s">
        <v>754</v>
      </c>
    </row>
    <row r="32" spans="1:18">
      <c r="A32" s="171" t="s">
        <v>41</v>
      </c>
      <c r="B32" s="37">
        <f>IF( ISERROR(IND_voed_ele_kWh/1000),0,IND_voed_ele_kWh/1000)</f>
        <v>282.71800000000002</v>
      </c>
      <c r="C32" s="39">
        <f>IF(ISERROR(B32*3.6/1000000/'E Balans VL '!Z20*100),0,B32*3.6/1000000/'E Balans VL '!Z20*100)</f>
        <v>8.7457511713528412E-3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7088.7839999999997</v>
      </c>
      <c r="C35" s="39">
        <f>IF(ISERROR(B35*3.6/1000000/'E Balans VL '!Z22*100),0,B35*3.6/1000000/'E Balans VL '!Z22*100)</f>
        <v>1.2750510740863676</v>
      </c>
      <c r="D35" s="237" t="s">
        <v>754</v>
      </c>
    </row>
    <row r="36" spans="1:5">
      <c r="A36" s="171" t="s">
        <v>34</v>
      </c>
      <c r="B36" s="37">
        <f>IF( ISERROR(IND_chemie_ele_kWh/1000),0,IND_chemie_ele_kWh/1000)</f>
        <v>6.9320000000000004</v>
      </c>
      <c r="C36" s="39">
        <f>IF(ISERROR(B36*3.6/1000000/'E Balans VL '!Z24*100),0,B36*3.6/1000000/'E Balans VL '!Z24*100)</f>
        <v>2.1138458038391747E-4</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79483.433999999994</v>
      </c>
      <c r="C5" s="17">
        <f>'Eigen informatie GS &amp; warmtenet'!B60</f>
        <v>0</v>
      </c>
      <c r="D5" s="30">
        <f>IF(ISERROR(SUM(LB_lb_gas_kWh,LB_rest_gas_kWh,onbekend_gas_kWh)/1000),0,SUM(LB_lb_gas_kWh,LB_rest_gas_kWh,onbekend_gas_kWh)/1000)*0.902</f>
        <v>249465.45989199998</v>
      </c>
      <c r="E5" s="17">
        <f>B17*'E Balans VL '!I25/3.6*1000000/100</f>
        <v>2336.2608956883628</v>
      </c>
      <c r="F5" s="17">
        <f>B17*('E Balans VL '!L25/3.6*1000000+'E Balans VL '!N25/3.6*1000000)/100</f>
        <v>331123.69098466431</v>
      </c>
      <c r="G5" s="18"/>
      <c r="H5" s="17"/>
      <c r="I5" s="17"/>
      <c r="J5" s="17">
        <f>('E Balans VL '!D25+'E Balans VL '!E25)/3.6*1000000*landbouw!B17/100</f>
        <v>11515.442660315859</v>
      </c>
      <c r="K5" s="17"/>
      <c r="L5" s="17">
        <f>L6*(-1)</f>
        <v>32448.214285714294</v>
      </c>
      <c r="M5" s="17"/>
      <c r="N5" s="17">
        <f>N6*(-1)</f>
        <v>0</v>
      </c>
      <c r="O5" s="17"/>
      <c r="P5" s="17"/>
      <c r="R5" s="32"/>
    </row>
    <row r="6" spans="1:18">
      <c r="A6" s="16" t="s">
        <v>488</v>
      </c>
      <c r="B6" s="17" t="s">
        <v>211</v>
      </c>
      <c r="C6" s="17">
        <f>'lokale energieproductie'!O91+'lokale energieproductie'!O60</f>
        <v>152190.00000000003</v>
      </c>
      <c r="D6" s="310">
        <f>('lokale energieproductie'!P60+'lokale energieproductie'!P91)*(-1)</f>
        <v>-261115.71428571432</v>
      </c>
      <c r="E6" s="248"/>
      <c r="F6" s="310">
        <f>('lokale energieproductie'!S60+'lokale energieproductie'!S91)*(-1)</f>
        <v>-10816.071428571431</v>
      </c>
      <c r="G6" s="249"/>
      <c r="H6" s="248"/>
      <c r="I6" s="248"/>
      <c r="J6" s="248"/>
      <c r="K6" s="248"/>
      <c r="L6" s="310">
        <f>('lokale energieproductie'!T60+'lokale energieproductie'!U60+'lokale energieproductie'!T91+'lokale energieproductie'!U91)*(-1)</f>
        <v>-32448.214285714294</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79483.433999999994</v>
      </c>
      <c r="C8" s="21">
        <f>C5+C6</f>
        <v>152190.00000000003</v>
      </c>
      <c r="D8" s="21">
        <f>MAX((D5+D6),0)</f>
        <v>0</v>
      </c>
      <c r="E8" s="21">
        <f>MAX((E5+E6),0)</f>
        <v>2336.2608956883628</v>
      </c>
      <c r="F8" s="21">
        <f>MAX((F5+F6),0)</f>
        <v>320307.61955609289</v>
      </c>
      <c r="G8" s="21"/>
      <c r="H8" s="21"/>
      <c r="I8" s="21"/>
      <c r="J8" s="21">
        <f>MAX((J5+J6),0)</f>
        <v>11515.442660315859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0.21133570502891608</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16797.687562509316</v>
      </c>
      <c r="C12" s="23">
        <f ca="1">C8*C10</f>
        <v>32725.450210084044</v>
      </c>
      <c r="D12" s="23">
        <f>D8*D10</f>
        <v>0</v>
      </c>
      <c r="E12" s="23">
        <f>E8*E10</f>
        <v>530.33122332125834</v>
      </c>
      <c r="F12" s="23">
        <f>F8*F10</f>
        <v>85522.134421476803</v>
      </c>
      <c r="G12" s="23"/>
      <c r="H12" s="23"/>
      <c r="I12" s="23"/>
      <c r="J12" s="23">
        <f>J8*J10</f>
        <v>4076.4667017518141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11.278948656269115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29.527218603467681</v>
      </c>
      <c r="C26" s="247">
        <f>B26*'GWP N2O_CH4'!B5</f>
        <v>620.07159067282134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2.4702149038573875</v>
      </c>
      <c r="C27" s="247">
        <f>B27*'GWP N2O_CH4'!B5</f>
        <v>51.87451298100514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0.38212328349286778</v>
      </c>
      <c r="C28" s="247">
        <f>B28*'GWP N2O_CH4'!B4</f>
        <v>118.45821788278901</v>
      </c>
      <c r="D28" s="50"/>
    </row>
    <row r="29" spans="1:4">
      <c r="A29" s="41" t="s">
        <v>277</v>
      </c>
      <c r="B29" s="247">
        <f>B34*'ha_N2O bodem landbouw'!B4</f>
        <v>6.6420256218546028</v>
      </c>
      <c r="C29" s="247">
        <f>B29*'GWP N2O_CH4'!B4</f>
        <v>2059.0279427749269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1.5156873574686432E-3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7.0918873385696855E-5</v>
      </c>
      <c r="C5" s="463" t="s">
        <v>211</v>
      </c>
      <c r="D5" s="448">
        <f>SUM(D6:D11)</f>
        <v>2.309825214720514E-4</v>
      </c>
      <c r="E5" s="448">
        <f>SUM(E6:E11)</f>
        <v>3.1134155983840022E-4</v>
      </c>
      <c r="F5" s="461" t="s">
        <v>211</v>
      </c>
      <c r="G5" s="448">
        <f>SUM(G6:G11)</f>
        <v>0.12160670475792466</v>
      </c>
      <c r="H5" s="448">
        <f>SUM(H6:H11)</f>
        <v>2.6145793994926895E-2</v>
      </c>
      <c r="I5" s="463" t="s">
        <v>211</v>
      </c>
      <c r="J5" s="463" t="s">
        <v>211</v>
      </c>
      <c r="K5" s="463" t="s">
        <v>211</v>
      </c>
      <c r="L5" s="463" t="s">
        <v>211</v>
      </c>
      <c r="M5" s="448">
        <f>SUM(M6:M11)</f>
        <v>7.8809433500539334E-3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6.3091179580562629E-5</v>
      </c>
      <c r="C6" s="449"/>
      <c r="D6" s="962">
        <f>vkm_2011_GW_PW*SUMIFS(TableVerdeelsleutelVkm[CNG],TableVerdeelsleutelVkm[Voertuigtype],"Lichte voertuigen")*SUMIFS(TableECFTransport[EnergieConsumptieFactor (PJ per km)],TableECFTransport[Index],CONCATENATE($A6,"_CNG_CNG"))</f>
        <v>1.8923732769840084E-4</v>
      </c>
      <c r="E6" s="962">
        <f>vkm_2011_GW_PW*SUMIFS(TableVerdeelsleutelVkm[LPG],TableVerdeelsleutelVkm[Voertuigtype],"Lichte voertuigen")*SUMIFS(TableECFTransport[EnergieConsumptieFactor (PJ per km)],TableECFTransport[Index],CONCATENATE($A6,"_LPG_LPG"))</f>
        <v>2.5852537223851948E-4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6.6842810273621558E-2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2.1519803951668776E-2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4.5439643105608177E-3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3.8478592753127143E-2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1.1725441969626975E-5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2.2485611923020979E-3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7.8276938051342258E-6</v>
      </c>
      <c r="C8" s="449"/>
      <c r="D8" s="451">
        <f>vkm_2011_NGW_PW*SUMIFS(TableVerdeelsleutelVkm[CNG],TableVerdeelsleutelVkm[Voertuigtype],"Lichte voertuigen")*SUMIFS(TableECFTransport[EnergieConsumptieFactor (PJ per km)],TableECFTransport[Index],CONCATENATE($A8,"_CNG_CNG"))</f>
        <v>4.1745193773650562E-5</v>
      </c>
      <c r="E8" s="451">
        <f>vkm_2011_NGW_PW*SUMIFS(TableVerdeelsleutelVkm[LPG],TableVerdeelsleutelVkm[Voertuigtype],"Lichte voertuigen")*SUMIFS(TableECFTransport[EnergieConsumptieFactor (PJ per km)],TableECFTransport[Index],CONCATENATE($A8,"_LPG_LPG"))</f>
        <v>5.2816187599880743E-5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1.2725802616985603E-2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4.6132434751762668E-3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8.8041442373270164E-4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3.5594991141903658E-3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1.0211261122261314E-6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2.0800342345831768E-4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19.699687051582462</v>
      </c>
      <c r="C14" s="21"/>
      <c r="D14" s="21">
        <f t="shared" ref="D14:M14" si="0">((D5)*10^9/3600)+D12</f>
        <v>64.161811520014268</v>
      </c>
      <c r="E14" s="21">
        <f t="shared" si="0"/>
        <v>86.483766621777846</v>
      </c>
      <c r="F14" s="21"/>
      <c r="G14" s="21">
        <f t="shared" si="0"/>
        <v>33779.640210534628</v>
      </c>
      <c r="H14" s="21">
        <f t="shared" si="0"/>
        <v>7262.72055414636</v>
      </c>
      <c r="I14" s="21"/>
      <c r="J14" s="21"/>
      <c r="K14" s="21"/>
      <c r="L14" s="21"/>
      <c r="M14" s="21">
        <f t="shared" si="0"/>
        <v>2189.1509305705372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0.21133570502891608</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4.1632472518951884</v>
      </c>
      <c r="C18" s="23"/>
      <c r="D18" s="23">
        <f t="shared" ref="D18:M18" si="1">D14*D16</f>
        <v>12.960685927042883</v>
      </c>
      <c r="E18" s="23">
        <f t="shared" si="1"/>
        <v>19.63181502314357</v>
      </c>
      <c r="F18" s="23"/>
      <c r="G18" s="23">
        <f t="shared" si="1"/>
        <v>9019.1639362127462</v>
      </c>
      <c r="H18" s="23">
        <f t="shared" si="1"/>
        <v>1808.4174179824436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2.6576490775581233E-3</v>
      </c>
      <c r="C50" s="321">
        <f t="shared" ref="C50:P50" si="2">SUM(C51:C52)</f>
        <v>0</v>
      </c>
      <c r="D50" s="321">
        <f t="shared" si="2"/>
        <v>0</v>
      </c>
      <c r="E50" s="321">
        <f t="shared" si="2"/>
        <v>0</v>
      </c>
      <c r="F50" s="321">
        <f t="shared" si="2"/>
        <v>0</v>
      </c>
      <c r="G50" s="321">
        <f t="shared" si="2"/>
        <v>4.7821704732741444E-3</v>
      </c>
      <c r="H50" s="321">
        <f t="shared" si="2"/>
        <v>0</v>
      </c>
      <c r="I50" s="321">
        <f t="shared" si="2"/>
        <v>0</v>
      </c>
      <c r="J50" s="321">
        <f t="shared" si="2"/>
        <v>0</v>
      </c>
      <c r="K50" s="321">
        <f t="shared" si="2"/>
        <v>0</v>
      </c>
      <c r="L50" s="321">
        <f t="shared" si="2"/>
        <v>0</v>
      </c>
      <c r="M50" s="321">
        <f t="shared" si="2"/>
        <v>2.7160617162513308E-4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4.7821704732741444E-3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2.7160617162513308E-4</v>
      </c>
      <c r="N51" s="323"/>
      <c r="O51" s="323"/>
      <c r="P51" s="326"/>
    </row>
    <row r="52" spans="1:18">
      <c r="A52" s="4" t="s">
        <v>330</v>
      </c>
      <c r="B52" s="963">
        <f>vkm_2011_tram*SUMIFS(TableECFTransport[EnergieConsumptieFactor (PJ per km)],TableECFTransport[Index],"Tram_gemiddeld_Electric_Electric")</f>
        <v>2.6576490775581233E-3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738.23585487725654</v>
      </c>
      <c r="C54" s="21">
        <f t="shared" ref="C54:P54" si="3">(C50)*10^9/3600</f>
        <v>0</v>
      </c>
      <c r="D54" s="21">
        <f t="shared" si="3"/>
        <v>0</v>
      </c>
      <c r="E54" s="21">
        <f t="shared" si="3"/>
        <v>0</v>
      </c>
      <c r="F54" s="21">
        <f t="shared" si="3"/>
        <v>0</v>
      </c>
      <c r="G54" s="21">
        <f t="shared" si="3"/>
        <v>1328.3806870205956</v>
      </c>
      <c r="H54" s="21">
        <f t="shared" si="3"/>
        <v>0</v>
      </c>
      <c r="I54" s="21">
        <f t="shared" si="3"/>
        <v>0</v>
      </c>
      <c r="J54" s="21">
        <f t="shared" si="3"/>
        <v>0</v>
      </c>
      <c r="K54" s="21">
        <f t="shared" si="3"/>
        <v>0</v>
      </c>
      <c r="L54" s="21">
        <f t="shared" si="3"/>
        <v>0</v>
      </c>
      <c r="M54" s="21">
        <f t="shared" si="3"/>
        <v>75.446158784759191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0.21133570502891608</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156.01559486810959</v>
      </c>
      <c r="C58" s="23">
        <f t="shared" ref="C58:P58" ca="1" si="4">C54*C56</f>
        <v>0</v>
      </c>
      <c r="D58" s="23">
        <f t="shared" si="4"/>
        <v>0</v>
      </c>
      <c r="E58" s="23">
        <f t="shared" si="4"/>
        <v>0</v>
      </c>
      <c r="F58" s="23">
        <f t="shared" si="4"/>
        <v>0</v>
      </c>
      <c r="G58" s="23">
        <f t="shared" si="4"/>
        <v>354.67764343449903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2516.2931370359602</v>
      </c>
      <c r="C6" s="1204"/>
      <c r="D6" s="1189"/>
      <c r="E6" s="1189"/>
      <c r="F6" s="1207"/>
      <c r="G6" s="1210"/>
      <c r="H6" s="1201"/>
      <c r="I6" s="1189"/>
      <c r="J6" s="1189"/>
      <c r="K6" s="1189"/>
      <c r="L6" s="1193"/>
      <c r="M6" s="575"/>
      <c r="N6" s="1167"/>
      <c r="O6" s="1168"/>
      <c r="Q6" s="573"/>
      <c r="R6" s="1155"/>
      <c r="S6" s="1155"/>
    </row>
    <row r="7" spans="1:19" s="563" customFormat="1">
      <c r="A7" s="576" t="s">
        <v>252</v>
      </c>
      <c r="B7" s="577">
        <f>N57</f>
        <v>106533</v>
      </c>
      <c r="C7" s="578">
        <f>B100</f>
        <v>107518.23529411765</v>
      </c>
      <c r="D7" s="579"/>
      <c r="E7" s="579">
        <f>E100</f>
        <v>4453.676470588236</v>
      </c>
      <c r="F7" s="580"/>
      <c r="G7" s="581"/>
      <c r="H7" s="579">
        <f>I100</f>
        <v>0</v>
      </c>
      <c r="I7" s="579">
        <f>G100+F100</f>
        <v>13361.029411764708</v>
      </c>
      <c r="J7" s="579">
        <f>H100+D100+C100</f>
        <v>0</v>
      </c>
      <c r="K7" s="579"/>
      <c r="L7" s="582"/>
      <c r="M7" s="583">
        <f>C7*$C$11+D7*$D$11+E7*$E$11+F7*$F$11+G7*$G$11+H7*$H$11+I7*$I$11+J7*$J$11</f>
        <v>22907.815147058827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109049.29313703596</v>
      </c>
      <c r="C9" s="594">
        <f t="shared" ref="C9:L9" si="0">SUM(C7:C8)</f>
        <v>107518.23529411765</v>
      </c>
      <c r="D9" s="594">
        <f t="shared" si="0"/>
        <v>0</v>
      </c>
      <c r="E9" s="594">
        <f t="shared" si="0"/>
        <v>4453.676470588236</v>
      </c>
      <c r="F9" s="594">
        <f t="shared" si="0"/>
        <v>0</v>
      </c>
      <c r="G9" s="594">
        <f t="shared" si="0"/>
        <v>0</v>
      </c>
      <c r="H9" s="594">
        <f t="shared" si="0"/>
        <v>0</v>
      </c>
      <c r="I9" s="594">
        <f t="shared" si="0"/>
        <v>13361.029411764708</v>
      </c>
      <c r="J9" s="594">
        <f t="shared" si="0"/>
        <v>0</v>
      </c>
      <c r="K9" s="594">
        <f t="shared" si="0"/>
        <v>0</v>
      </c>
      <c r="L9" s="594">
        <f t="shared" si="0"/>
        <v>0</v>
      </c>
      <c r="M9" s="595">
        <f>SUM(M4:M8)</f>
        <v>22907.815147058827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152190.00000000003</v>
      </c>
      <c r="C16" s="610">
        <f>B101</f>
        <v>153597.47899159667</v>
      </c>
      <c r="D16" s="611"/>
      <c r="E16" s="611">
        <f>E101</f>
        <v>6362.3949579831951</v>
      </c>
      <c r="F16" s="612"/>
      <c r="G16" s="613"/>
      <c r="H16" s="610">
        <f>I101</f>
        <v>0</v>
      </c>
      <c r="I16" s="611">
        <f>G101+F101</f>
        <v>19087.184873949584</v>
      </c>
      <c r="J16" s="611">
        <f>H101+D101+C101</f>
        <v>0</v>
      </c>
      <c r="K16" s="611"/>
      <c r="L16" s="614"/>
      <c r="M16" s="615">
        <f>C16*$C$21+E16*$E$21+H16*$H$21+I16*$I$21+J16*$J$21+D16*$D$21+F16*$F$21+G16*$G$21+K16*$K$21+L16*$L$21</f>
        <v>32725.450210084044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152190.00000000003</v>
      </c>
      <c r="C19" s="593">
        <f>SUM(C16:C18)</f>
        <v>153597.47899159667</v>
      </c>
      <c r="D19" s="593">
        <f t="shared" ref="D19:M19" si="1">SUM(D16:D18)</f>
        <v>0</v>
      </c>
      <c r="E19" s="593">
        <f t="shared" si="1"/>
        <v>6362.3949579831951</v>
      </c>
      <c r="F19" s="593">
        <f t="shared" si="1"/>
        <v>0</v>
      </c>
      <c r="G19" s="593">
        <f t="shared" si="1"/>
        <v>0</v>
      </c>
      <c r="H19" s="593">
        <f t="shared" si="1"/>
        <v>0</v>
      </c>
      <c r="I19" s="593">
        <f t="shared" si="1"/>
        <v>19087.184873949584</v>
      </c>
      <c r="J19" s="593">
        <f t="shared" si="1"/>
        <v>0</v>
      </c>
      <c r="K19" s="593">
        <f t="shared" si="1"/>
        <v>0</v>
      </c>
      <c r="L19" s="593">
        <f t="shared" si="1"/>
        <v>0</v>
      </c>
      <c r="M19" s="620">
        <f t="shared" si="1"/>
        <v>32725.450210084044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11004</v>
      </c>
      <c r="C27" s="851">
        <v>2530</v>
      </c>
      <c r="D27" s="672" t="s">
        <v>809</v>
      </c>
      <c r="E27" s="671" t="s">
        <v>810</v>
      </c>
      <c r="F27" s="671" t="s">
        <v>811</v>
      </c>
      <c r="G27" s="671" t="s">
        <v>812</v>
      </c>
      <c r="H27" s="671" t="s">
        <v>813</v>
      </c>
      <c r="I27" s="671" t="s">
        <v>814</v>
      </c>
      <c r="J27" s="850">
        <v>41262</v>
      </c>
      <c r="K27" s="850">
        <v>38991</v>
      </c>
      <c r="L27" s="671" t="s">
        <v>815</v>
      </c>
      <c r="M27" s="671">
        <v>1560</v>
      </c>
      <c r="N27" s="671">
        <v>7020</v>
      </c>
      <c r="O27" s="671">
        <v>10028.571428571429</v>
      </c>
      <c r="P27" s="671">
        <v>20057.142857142859</v>
      </c>
      <c r="Q27" s="671">
        <v>0</v>
      </c>
      <c r="R27" s="671">
        <v>0</v>
      </c>
      <c r="S27" s="671">
        <v>0</v>
      </c>
      <c r="T27" s="671">
        <v>0</v>
      </c>
      <c r="U27" s="671">
        <v>0</v>
      </c>
      <c r="V27" s="671">
        <v>0</v>
      </c>
      <c r="W27" s="671">
        <v>0</v>
      </c>
      <c r="X27" s="671">
        <v>10</v>
      </c>
      <c r="Y27" s="671" t="s">
        <v>112</v>
      </c>
      <c r="Z27" s="673" t="s">
        <v>112</v>
      </c>
    </row>
    <row r="28" spans="1:26" s="625" customFormat="1" ht="38.25">
      <c r="A28" s="624"/>
      <c r="B28" s="851">
        <v>11004</v>
      </c>
      <c r="C28" s="851">
        <v>2530</v>
      </c>
      <c r="D28" s="672" t="s">
        <v>816</v>
      </c>
      <c r="E28" s="671" t="s">
        <v>817</v>
      </c>
      <c r="F28" s="671" t="s">
        <v>818</v>
      </c>
      <c r="G28" s="671" t="s">
        <v>812</v>
      </c>
      <c r="H28" s="671" t="s">
        <v>813</v>
      </c>
      <c r="I28" s="671" t="s">
        <v>817</v>
      </c>
      <c r="J28" s="850">
        <v>41285</v>
      </c>
      <c r="K28" s="850">
        <v>39083</v>
      </c>
      <c r="L28" s="671" t="s">
        <v>815</v>
      </c>
      <c r="M28" s="671">
        <v>4090</v>
      </c>
      <c r="N28" s="671">
        <v>18405</v>
      </c>
      <c r="O28" s="671">
        <v>26292.857142857145</v>
      </c>
      <c r="P28" s="671">
        <v>52585.71428571429</v>
      </c>
      <c r="Q28" s="671">
        <v>0</v>
      </c>
      <c r="R28" s="671">
        <v>0</v>
      </c>
      <c r="S28" s="671">
        <v>0</v>
      </c>
      <c r="T28" s="671">
        <v>0</v>
      </c>
      <c r="U28" s="671">
        <v>0</v>
      </c>
      <c r="V28" s="671">
        <v>0</v>
      </c>
      <c r="W28" s="671">
        <v>0</v>
      </c>
      <c r="X28" s="671">
        <v>10</v>
      </c>
      <c r="Y28" s="671" t="s">
        <v>112</v>
      </c>
      <c r="Z28" s="673" t="s">
        <v>112</v>
      </c>
    </row>
    <row r="29" spans="1:26" s="625" customFormat="1" ht="25.5">
      <c r="A29" s="624"/>
      <c r="B29" s="851">
        <v>11004</v>
      </c>
      <c r="C29" s="851">
        <v>2530</v>
      </c>
      <c r="D29" s="672" t="s">
        <v>819</v>
      </c>
      <c r="E29" s="671" t="s">
        <v>820</v>
      </c>
      <c r="F29" s="671" t="s">
        <v>821</v>
      </c>
      <c r="G29" s="671" t="s">
        <v>812</v>
      </c>
      <c r="H29" s="671" t="s">
        <v>813</v>
      </c>
      <c r="I29" s="671" t="s">
        <v>820</v>
      </c>
      <c r="J29" s="850">
        <v>38777</v>
      </c>
      <c r="K29" s="850">
        <v>39134</v>
      </c>
      <c r="L29" s="671" t="s">
        <v>815</v>
      </c>
      <c r="M29" s="671">
        <v>3365</v>
      </c>
      <c r="N29" s="671">
        <v>15142.500000000002</v>
      </c>
      <c r="O29" s="671">
        <v>21632.142857142859</v>
      </c>
      <c r="P29" s="671">
        <v>0</v>
      </c>
      <c r="Q29" s="671">
        <v>0</v>
      </c>
      <c r="R29" s="671">
        <v>0</v>
      </c>
      <c r="S29" s="671">
        <v>10816.071428571431</v>
      </c>
      <c r="T29" s="671">
        <v>0</v>
      </c>
      <c r="U29" s="671">
        <v>32448.214285714294</v>
      </c>
      <c r="V29" s="671">
        <v>0</v>
      </c>
      <c r="W29" s="671">
        <v>0</v>
      </c>
      <c r="X29" s="671">
        <v>10</v>
      </c>
      <c r="Y29" s="671" t="s">
        <v>112</v>
      </c>
      <c r="Z29" s="673" t="s">
        <v>112</v>
      </c>
    </row>
    <row r="30" spans="1:26" s="625" customFormat="1" ht="25.5">
      <c r="A30" s="624"/>
      <c r="B30" s="851">
        <v>11004</v>
      </c>
      <c r="C30" s="851">
        <v>2531</v>
      </c>
      <c r="D30" s="672" t="s">
        <v>822</v>
      </c>
      <c r="E30" s="671" t="s">
        <v>823</v>
      </c>
      <c r="F30" s="671" t="s">
        <v>824</v>
      </c>
      <c r="G30" s="671" t="s">
        <v>812</v>
      </c>
      <c r="H30" s="671" t="s">
        <v>813</v>
      </c>
      <c r="I30" s="671" t="s">
        <v>823</v>
      </c>
      <c r="J30" s="850">
        <v>39212</v>
      </c>
      <c r="K30" s="850">
        <v>39226</v>
      </c>
      <c r="L30" s="671" t="s">
        <v>815</v>
      </c>
      <c r="M30" s="671">
        <v>1125</v>
      </c>
      <c r="N30" s="671">
        <v>5062.5</v>
      </c>
      <c r="O30" s="671">
        <v>7232.1428571428569</v>
      </c>
      <c r="P30" s="671">
        <v>14464.285714285716</v>
      </c>
      <c r="Q30" s="671">
        <v>0</v>
      </c>
      <c r="R30" s="671">
        <v>0</v>
      </c>
      <c r="S30" s="671">
        <v>0</v>
      </c>
      <c r="T30" s="671">
        <v>0</v>
      </c>
      <c r="U30" s="671">
        <v>0</v>
      </c>
      <c r="V30" s="671">
        <v>0</v>
      </c>
      <c r="W30" s="671">
        <v>0</v>
      </c>
      <c r="X30" s="671">
        <v>10</v>
      </c>
      <c r="Y30" s="671" t="s">
        <v>112</v>
      </c>
      <c r="Z30" s="673" t="s">
        <v>112</v>
      </c>
    </row>
    <row r="31" spans="1:26" s="625" customFormat="1" ht="25.5">
      <c r="A31" s="624"/>
      <c r="B31" s="851">
        <v>11004</v>
      </c>
      <c r="C31" s="851">
        <v>2531</v>
      </c>
      <c r="D31" s="672" t="s">
        <v>825</v>
      </c>
      <c r="E31" s="671" t="s">
        <v>826</v>
      </c>
      <c r="F31" s="671" t="s">
        <v>827</v>
      </c>
      <c r="G31" s="671" t="s">
        <v>812</v>
      </c>
      <c r="H31" s="671" t="s">
        <v>813</v>
      </c>
      <c r="I31" s="671" t="s">
        <v>826</v>
      </c>
      <c r="J31" s="850">
        <v>40603</v>
      </c>
      <c r="K31" s="850">
        <v>39497</v>
      </c>
      <c r="L31" s="671" t="s">
        <v>815</v>
      </c>
      <c r="M31" s="671">
        <v>6390</v>
      </c>
      <c r="N31" s="671">
        <v>28755</v>
      </c>
      <c r="O31" s="671">
        <v>41078.571428571428</v>
      </c>
      <c r="P31" s="671">
        <v>82157.14285714287</v>
      </c>
      <c r="Q31" s="671">
        <v>0</v>
      </c>
      <c r="R31" s="671">
        <v>0</v>
      </c>
      <c r="S31" s="671">
        <v>0</v>
      </c>
      <c r="T31" s="671">
        <v>0</v>
      </c>
      <c r="U31" s="671">
        <v>0</v>
      </c>
      <c r="V31" s="671">
        <v>0</v>
      </c>
      <c r="W31" s="671">
        <v>0</v>
      </c>
      <c r="X31" s="671">
        <v>10</v>
      </c>
      <c r="Y31" s="671" t="s">
        <v>112</v>
      </c>
      <c r="Z31" s="673" t="s">
        <v>112</v>
      </c>
    </row>
    <row r="32" spans="1:26" s="625" customFormat="1" ht="38.25">
      <c r="A32" s="624"/>
      <c r="B32" s="851">
        <v>11004</v>
      </c>
      <c r="C32" s="851">
        <v>2531</v>
      </c>
      <c r="D32" s="672" t="s">
        <v>828</v>
      </c>
      <c r="E32" s="671" t="s">
        <v>829</v>
      </c>
      <c r="F32" s="671" t="s">
        <v>830</v>
      </c>
      <c r="G32" s="671" t="s">
        <v>812</v>
      </c>
      <c r="H32" s="671" t="s">
        <v>813</v>
      </c>
      <c r="I32" s="671" t="s">
        <v>829</v>
      </c>
      <c r="J32" s="850">
        <v>39604</v>
      </c>
      <c r="K32" s="850">
        <v>39618</v>
      </c>
      <c r="L32" s="671" t="s">
        <v>815</v>
      </c>
      <c r="M32" s="671">
        <v>4141</v>
      </c>
      <c r="N32" s="671">
        <v>18634.5</v>
      </c>
      <c r="O32" s="671">
        <v>26620.714285714286</v>
      </c>
      <c r="P32" s="671">
        <v>53241.428571428572</v>
      </c>
      <c r="Q32" s="671">
        <v>0</v>
      </c>
      <c r="R32" s="671">
        <v>0</v>
      </c>
      <c r="S32" s="671">
        <v>0</v>
      </c>
      <c r="T32" s="671">
        <v>0</v>
      </c>
      <c r="U32" s="671">
        <v>0</v>
      </c>
      <c r="V32" s="671">
        <v>0</v>
      </c>
      <c r="W32" s="671">
        <v>0</v>
      </c>
      <c r="X32" s="671">
        <v>10</v>
      </c>
      <c r="Y32" s="671" t="s">
        <v>112</v>
      </c>
      <c r="Z32" s="673" t="s">
        <v>112</v>
      </c>
    </row>
    <row r="33" spans="1:26" s="625" customFormat="1" ht="25.5">
      <c r="A33" s="624"/>
      <c r="B33" s="851">
        <v>11004</v>
      </c>
      <c r="C33" s="851">
        <v>2530</v>
      </c>
      <c r="D33" s="672" t="s">
        <v>831</v>
      </c>
      <c r="E33" s="671" t="s">
        <v>832</v>
      </c>
      <c r="F33" s="671" t="s">
        <v>833</v>
      </c>
      <c r="G33" s="671" t="s">
        <v>812</v>
      </c>
      <c r="H33" s="671" t="s">
        <v>813</v>
      </c>
      <c r="I33" s="671" t="s">
        <v>832</v>
      </c>
      <c r="J33" s="850">
        <v>40360</v>
      </c>
      <c r="K33" s="850">
        <v>40513</v>
      </c>
      <c r="L33" s="671" t="s">
        <v>834</v>
      </c>
      <c r="M33" s="671">
        <v>173</v>
      </c>
      <c r="N33" s="671">
        <v>778.49999999999989</v>
      </c>
      <c r="O33" s="671">
        <v>1112.1428571428571</v>
      </c>
      <c r="P33" s="671">
        <v>2224.2857142857142</v>
      </c>
      <c r="Q33" s="671">
        <v>0</v>
      </c>
      <c r="R33" s="671">
        <v>0</v>
      </c>
      <c r="S33" s="671">
        <v>0</v>
      </c>
      <c r="T33" s="671">
        <v>0</v>
      </c>
      <c r="U33" s="671">
        <v>0</v>
      </c>
      <c r="V33" s="671">
        <v>0</v>
      </c>
      <c r="W33" s="671">
        <v>0</v>
      </c>
      <c r="X33" s="671">
        <v>10</v>
      </c>
      <c r="Y33" s="671" t="s">
        <v>112</v>
      </c>
      <c r="Z33" s="673" t="s">
        <v>112</v>
      </c>
    </row>
    <row r="34" spans="1:26" s="625" customFormat="1" ht="25.5">
      <c r="A34" s="624"/>
      <c r="B34" s="851">
        <v>11004</v>
      </c>
      <c r="C34" s="851">
        <v>2531</v>
      </c>
      <c r="D34" s="672" t="s">
        <v>835</v>
      </c>
      <c r="E34" s="671" t="s">
        <v>836</v>
      </c>
      <c r="F34" s="671" t="s">
        <v>837</v>
      </c>
      <c r="G34" s="671" t="s">
        <v>812</v>
      </c>
      <c r="H34" s="671" t="s">
        <v>813</v>
      </c>
      <c r="I34" s="671" t="s">
        <v>836</v>
      </c>
      <c r="J34" s="850">
        <v>40525</v>
      </c>
      <c r="K34" s="850">
        <v>40525</v>
      </c>
      <c r="L34" s="671" t="s">
        <v>815</v>
      </c>
      <c r="M34" s="671">
        <v>1415</v>
      </c>
      <c r="N34" s="671">
        <v>6367.5</v>
      </c>
      <c r="O34" s="671">
        <v>9096.4285714285725</v>
      </c>
      <c r="P34" s="671">
        <v>18192.857142857145</v>
      </c>
      <c r="Q34" s="671">
        <v>0</v>
      </c>
      <c r="R34" s="671">
        <v>0</v>
      </c>
      <c r="S34" s="671">
        <v>0</v>
      </c>
      <c r="T34" s="671">
        <v>0</v>
      </c>
      <c r="U34" s="671">
        <v>0</v>
      </c>
      <c r="V34" s="671">
        <v>0</v>
      </c>
      <c r="W34" s="671">
        <v>0</v>
      </c>
      <c r="X34" s="671">
        <v>10</v>
      </c>
      <c r="Y34" s="671" t="s">
        <v>112</v>
      </c>
      <c r="Z34" s="673" t="s">
        <v>112</v>
      </c>
    </row>
    <row r="35" spans="1:26" s="625" customFormat="1" ht="25.5">
      <c r="A35" s="624"/>
      <c r="B35" s="851">
        <v>11004</v>
      </c>
      <c r="C35" s="851">
        <v>2531</v>
      </c>
      <c r="D35" s="672" t="s">
        <v>838</v>
      </c>
      <c r="E35" s="671" t="s">
        <v>839</v>
      </c>
      <c r="F35" s="671" t="s">
        <v>840</v>
      </c>
      <c r="G35" s="671" t="s">
        <v>812</v>
      </c>
      <c r="H35" s="671" t="s">
        <v>813</v>
      </c>
      <c r="I35" s="671" t="s">
        <v>839</v>
      </c>
      <c r="J35" s="850">
        <v>40588</v>
      </c>
      <c r="K35" s="850">
        <v>40588</v>
      </c>
      <c r="L35" s="671" t="s">
        <v>815</v>
      </c>
      <c r="M35" s="671">
        <v>1415</v>
      </c>
      <c r="N35" s="671">
        <v>6367.5</v>
      </c>
      <c r="O35" s="671">
        <v>9096.4285714285725</v>
      </c>
      <c r="P35" s="671">
        <v>18192.857142857145</v>
      </c>
      <c r="Q35" s="671">
        <v>0</v>
      </c>
      <c r="R35" s="671">
        <v>0</v>
      </c>
      <c r="S35" s="671">
        <v>0</v>
      </c>
      <c r="T35" s="671">
        <v>0</v>
      </c>
      <c r="U35" s="671">
        <v>0</v>
      </c>
      <c r="V35" s="671">
        <v>0</v>
      </c>
      <c r="W35" s="671">
        <v>0</v>
      </c>
      <c r="X35" s="671">
        <v>10</v>
      </c>
      <c r="Y35" s="671" t="s">
        <v>112</v>
      </c>
      <c r="Z35" s="673" t="s">
        <v>112</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23674</v>
      </c>
      <c r="N57" s="629">
        <f>SUM(N27:N56)</f>
        <v>106533</v>
      </c>
      <c r="O57" s="629">
        <f t="shared" ref="O57:W57" si="2">SUM(O27:O56)</f>
        <v>152190.00000000003</v>
      </c>
      <c r="P57" s="629">
        <f t="shared" si="2"/>
        <v>261115.71428571432</v>
      </c>
      <c r="Q57" s="629">
        <f t="shared" si="2"/>
        <v>0</v>
      </c>
      <c r="R57" s="629">
        <f t="shared" si="2"/>
        <v>0</v>
      </c>
      <c r="S57" s="629">
        <f t="shared" si="2"/>
        <v>10816.071428571431</v>
      </c>
      <c r="T57" s="629">
        <f t="shared" si="2"/>
        <v>0</v>
      </c>
      <c r="U57" s="629">
        <f t="shared" si="2"/>
        <v>32448.214285714294</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23674</v>
      </c>
      <c r="N60" s="634">
        <f t="shared" ref="N60:W60" si="4">SUMIF($Z$27:$Z$56,"landbouw",N27:N56)</f>
        <v>106533</v>
      </c>
      <c r="O60" s="634">
        <f t="shared" si="4"/>
        <v>152190.00000000003</v>
      </c>
      <c r="P60" s="634">
        <f t="shared" si="4"/>
        <v>261115.71428571432</v>
      </c>
      <c r="Q60" s="634">
        <f t="shared" si="4"/>
        <v>0</v>
      </c>
      <c r="R60" s="634">
        <f t="shared" si="4"/>
        <v>0</v>
      </c>
      <c r="S60" s="634">
        <f t="shared" si="4"/>
        <v>10816.071428571431</v>
      </c>
      <c r="T60" s="634">
        <f t="shared" si="4"/>
        <v>0</v>
      </c>
      <c r="U60" s="634">
        <f t="shared" si="4"/>
        <v>32448.214285714294</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107518.23529411765</v>
      </c>
      <c r="C100" s="663">
        <f t="shared" si="9"/>
        <v>0</v>
      </c>
      <c r="D100" s="663">
        <f t="shared" si="9"/>
        <v>0</v>
      </c>
      <c r="E100" s="663">
        <f t="shared" si="9"/>
        <v>4453.676470588236</v>
      </c>
      <c r="F100" s="663">
        <f t="shared" si="9"/>
        <v>0</v>
      </c>
      <c r="G100" s="663">
        <f t="shared" si="9"/>
        <v>13361.029411764708</v>
      </c>
      <c r="H100" s="663">
        <f t="shared" si="9"/>
        <v>0</v>
      </c>
      <c r="I100" s="664">
        <f t="shared" si="9"/>
        <v>0</v>
      </c>
      <c r="J100" s="621"/>
      <c r="K100" s="621"/>
      <c r="L100" s="659"/>
      <c r="M100" s="646"/>
      <c r="N100" s="646"/>
    </row>
    <row r="101" spans="1:14" ht="15.75" thickBot="1">
      <c r="A101" s="665" t="s">
        <v>286</v>
      </c>
      <c r="B101" s="666">
        <f>$B$97*P57</f>
        <v>153597.47899159667</v>
      </c>
      <c r="C101" s="666">
        <f t="shared" ref="C101:H101" si="10">$B$97*Q57</f>
        <v>0</v>
      </c>
      <c r="D101" s="666">
        <f t="shared" si="10"/>
        <v>0</v>
      </c>
      <c r="E101" s="666">
        <f t="shared" si="10"/>
        <v>6362.3949579831951</v>
      </c>
      <c r="F101" s="666">
        <f t="shared" si="10"/>
        <v>0</v>
      </c>
      <c r="G101" s="666">
        <f t="shared" si="10"/>
        <v>19087.184873949584</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11319.994199999999</v>
      </c>
      <c r="D10" s="718">
        <f ca="1">tertiair!C16</f>
        <v>0</v>
      </c>
      <c r="E10" s="718">
        <f ca="1">tertiair!D16</f>
        <v>19681.628815199998</v>
      </c>
      <c r="F10" s="718">
        <f>tertiair!E16</f>
        <v>148.40919542521925</v>
      </c>
      <c r="G10" s="718">
        <f ca="1">tertiair!F16</f>
        <v>1768.8861493327872</v>
      </c>
      <c r="H10" s="718">
        <f>tertiair!G16</f>
        <v>0</v>
      </c>
      <c r="I10" s="718">
        <f>tertiair!H16</f>
        <v>0</v>
      </c>
      <c r="J10" s="718">
        <f>tertiair!I16</f>
        <v>0</v>
      </c>
      <c r="K10" s="718">
        <f>tertiair!J16</f>
        <v>1.5521323290836025E-2</v>
      </c>
      <c r="L10" s="718">
        <f>tertiair!K16</f>
        <v>0</v>
      </c>
      <c r="M10" s="718">
        <f ca="1">tertiair!L16</f>
        <v>0</v>
      </c>
      <c r="N10" s="718">
        <f>tertiair!M16</f>
        <v>0</v>
      </c>
      <c r="O10" s="718">
        <f ca="1">tertiair!N16</f>
        <v>639.25245458198765</v>
      </c>
      <c r="P10" s="718">
        <f>tertiair!O16</f>
        <v>3.1266666666666669</v>
      </c>
      <c r="Q10" s="719">
        <f>tertiair!P16</f>
        <v>0</v>
      </c>
      <c r="R10" s="721">
        <f ca="1">SUM(C10:Q10)</f>
        <v>33561.313002529954</v>
      </c>
      <c r="S10" s="67"/>
    </row>
    <row r="11" spans="1:19" s="474" customFormat="1">
      <c r="A11" s="870" t="s">
        <v>225</v>
      </c>
      <c r="B11" s="875"/>
      <c r="C11" s="718">
        <f>huishoudens!B8</f>
        <v>20624.192362717971</v>
      </c>
      <c r="D11" s="718">
        <f>huishoudens!C8</f>
        <v>0</v>
      </c>
      <c r="E11" s="718">
        <f>huishoudens!D8</f>
        <v>58539.247750500006</v>
      </c>
      <c r="F11" s="718">
        <f>huishoudens!E8</f>
        <v>1123.0941489670836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8350.78667061132</v>
      </c>
      <c r="P11" s="718">
        <f>huishoudens!O8</f>
        <v>198.54333333333332</v>
      </c>
      <c r="Q11" s="719">
        <f>huishoudens!P8</f>
        <v>800.8</v>
      </c>
      <c r="R11" s="721">
        <f>SUM(C11:Q11)</f>
        <v>89636.664266129708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11163.18685</v>
      </c>
      <c r="D13" s="718">
        <f>industrie!C18</f>
        <v>0</v>
      </c>
      <c r="E13" s="718">
        <f>industrie!D18</f>
        <v>2630.0732480000001</v>
      </c>
      <c r="F13" s="718">
        <f>industrie!E18</f>
        <v>1094.4767645595648</v>
      </c>
      <c r="G13" s="718">
        <f>industrie!F18</f>
        <v>3175.9083076039378</v>
      </c>
      <c r="H13" s="718">
        <f>industrie!G18</f>
        <v>0</v>
      </c>
      <c r="I13" s="718">
        <f>industrie!H18</f>
        <v>0</v>
      </c>
      <c r="J13" s="718">
        <f>industrie!I18</f>
        <v>0</v>
      </c>
      <c r="K13" s="718">
        <f>industrie!J18</f>
        <v>1.0963469991597965</v>
      </c>
      <c r="L13" s="718">
        <f>industrie!K18</f>
        <v>0</v>
      </c>
      <c r="M13" s="718">
        <f>industrie!L18</f>
        <v>0</v>
      </c>
      <c r="N13" s="718">
        <f>industrie!M18</f>
        <v>0</v>
      </c>
      <c r="O13" s="718">
        <f>industrie!N18</f>
        <v>21850.440020635662</v>
      </c>
      <c r="P13" s="718">
        <f>industrie!O18</f>
        <v>0</v>
      </c>
      <c r="Q13" s="719">
        <f>industrie!P18</f>
        <v>0</v>
      </c>
      <c r="R13" s="721">
        <f>SUM(C13:Q13)</f>
        <v>39915.181537798329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43107.37341271797</v>
      </c>
      <c r="D15" s="723">
        <f t="shared" ref="D15:Q15" ca="1" si="0">SUM(D9:D14)</f>
        <v>0</v>
      </c>
      <c r="E15" s="723">
        <f t="shared" ca="1" si="0"/>
        <v>80850.949813700005</v>
      </c>
      <c r="F15" s="723">
        <f t="shared" si="0"/>
        <v>2365.9801089518678</v>
      </c>
      <c r="G15" s="723">
        <f t="shared" ca="1" si="0"/>
        <v>4944.7944569367246</v>
      </c>
      <c r="H15" s="723">
        <f t="shared" si="0"/>
        <v>0</v>
      </c>
      <c r="I15" s="723">
        <f t="shared" si="0"/>
        <v>0</v>
      </c>
      <c r="J15" s="723">
        <f t="shared" si="0"/>
        <v>0</v>
      </c>
      <c r="K15" s="723">
        <f t="shared" si="0"/>
        <v>1.1118683224506325</v>
      </c>
      <c r="L15" s="723">
        <f t="shared" si="0"/>
        <v>0</v>
      </c>
      <c r="M15" s="723">
        <f t="shared" ca="1" si="0"/>
        <v>0</v>
      </c>
      <c r="N15" s="723">
        <f t="shared" si="0"/>
        <v>0</v>
      </c>
      <c r="O15" s="723">
        <f t="shared" ca="1" si="0"/>
        <v>30840.479145828969</v>
      </c>
      <c r="P15" s="723">
        <f t="shared" si="0"/>
        <v>201.67</v>
      </c>
      <c r="Q15" s="724">
        <f t="shared" si="0"/>
        <v>800.8</v>
      </c>
      <c r="R15" s="725">
        <f ca="1">SUM(R9:R14)</f>
        <v>163113.158806458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738.23585487725654</v>
      </c>
      <c r="D18" s="718">
        <f>transport!C54</f>
        <v>0</v>
      </c>
      <c r="E18" s="718">
        <f>transport!D54</f>
        <v>0</v>
      </c>
      <c r="F18" s="718">
        <f>transport!E54</f>
        <v>0</v>
      </c>
      <c r="G18" s="718">
        <f>transport!F54</f>
        <v>0</v>
      </c>
      <c r="H18" s="718">
        <f>transport!G54</f>
        <v>1328.3806870205956</v>
      </c>
      <c r="I18" s="718">
        <f>transport!H54</f>
        <v>0</v>
      </c>
      <c r="J18" s="718">
        <f>transport!I54</f>
        <v>0</v>
      </c>
      <c r="K18" s="718">
        <f>transport!J54</f>
        <v>0</v>
      </c>
      <c r="L18" s="718">
        <f>transport!K54</f>
        <v>0</v>
      </c>
      <c r="M18" s="718">
        <f>transport!L54</f>
        <v>0</v>
      </c>
      <c r="N18" s="718">
        <f>transport!M54</f>
        <v>75.446158784759191</v>
      </c>
      <c r="O18" s="718">
        <f>transport!N54</f>
        <v>0</v>
      </c>
      <c r="P18" s="718">
        <f>transport!O54</f>
        <v>0</v>
      </c>
      <c r="Q18" s="719">
        <f>transport!P54</f>
        <v>0</v>
      </c>
      <c r="R18" s="721">
        <f>SUM(C18:Q18)</f>
        <v>2142.0627006826112</v>
      </c>
      <c r="S18" s="67"/>
    </row>
    <row r="19" spans="1:19" s="474" customFormat="1" ht="15" thickBot="1">
      <c r="A19" s="870" t="s">
        <v>307</v>
      </c>
      <c r="B19" s="875"/>
      <c r="C19" s="727">
        <f>transport!B14</f>
        <v>19.699687051582462</v>
      </c>
      <c r="D19" s="727">
        <f>transport!C14</f>
        <v>0</v>
      </c>
      <c r="E19" s="727">
        <f>transport!D14</f>
        <v>64.161811520014268</v>
      </c>
      <c r="F19" s="727">
        <f>transport!E14</f>
        <v>86.483766621777846</v>
      </c>
      <c r="G19" s="727">
        <f>transport!F14</f>
        <v>0</v>
      </c>
      <c r="H19" s="727">
        <f>transport!G14</f>
        <v>33779.640210534628</v>
      </c>
      <c r="I19" s="727">
        <f>transport!H14</f>
        <v>7262.72055414636</v>
      </c>
      <c r="J19" s="727">
        <f>transport!I14</f>
        <v>0</v>
      </c>
      <c r="K19" s="727">
        <f>transport!J14</f>
        <v>0</v>
      </c>
      <c r="L19" s="727">
        <f>transport!K14</f>
        <v>0</v>
      </c>
      <c r="M19" s="727">
        <f>transport!L14</f>
        <v>0</v>
      </c>
      <c r="N19" s="727">
        <f>transport!M14</f>
        <v>2189.1509305705372</v>
      </c>
      <c r="O19" s="727">
        <f>transport!N14</f>
        <v>0</v>
      </c>
      <c r="P19" s="727">
        <f>transport!O14</f>
        <v>0</v>
      </c>
      <c r="Q19" s="728">
        <f>transport!P14</f>
        <v>0</v>
      </c>
      <c r="R19" s="729">
        <f>SUM(C19:Q19)</f>
        <v>43401.856960444908</v>
      </c>
      <c r="S19" s="67"/>
    </row>
    <row r="20" spans="1:19" s="474" customFormat="1" ht="15.75" thickBot="1">
      <c r="A20" s="730" t="s">
        <v>230</v>
      </c>
      <c r="B20" s="878"/>
      <c r="C20" s="873">
        <f>SUM(C17:C19)</f>
        <v>757.93554192883903</v>
      </c>
      <c r="D20" s="731">
        <f t="shared" ref="D20:R20" si="1">SUM(D17:D19)</f>
        <v>0</v>
      </c>
      <c r="E20" s="731">
        <f t="shared" si="1"/>
        <v>64.161811520014268</v>
      </c>
      <c r="F20" s="731">
        <f t="shared" si="1"/>
        <v>86.483766621777846</v>
      </c>
      <c r="G20" s="731">
        <f t="shared" si="1"/>
        <v>0</v>
      </c>
      <c r="H20" s="731">
        <f t="shared" si="1"/>
        <v>35108.020897555223</v>
      </c>
      <c r="I20" s="731">
        <f t="shared" si="1"/>
        <v>7262.72055414636</v>
      </c>
      <c r="J20" s="731">
        <f t="shared" si="1"/>
        <v>0</v>
      </c>
      <c r="K20" s="731">
        <f t="shared" si="1"/>
        <v>0</v>
      </c>
      <c r="L20" s="731">
        <f t="shared" si="1"/>
        <v>0</v>
      </c>
      <c r="M20" s="731">
        <f t="shared" si="1"/>
        <v>0</v>
      </c>
      <c r="N20" s="731">
        <f t="shared" si="1"/>
        <v>2264.5970893552962</v>
      </c>
      <c r="O20" s="731">
        <f t="shared" si="1"/>
        <v>0</v>
      </c>
      <c r="P20" s="731">
        <f t="shared" si="1"/>
        <v>0</v>
      </c>
      <c r="Q20" s="732">
        <f t="shared" si="1"/>
        <v>0</v>
      </c>
      <c r="R20" s="733">
        <f t="shared" si="1"/>
        <v>45543.919661127518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79483.433999999994</v>
      </c>
      <c r="D22" s="727">
        <f>+landbouw!C8</f>
        <v>152190.00000000003</v>
      </c>
      <c r="E22" s="727">
        <f>+landbouw!D8</f>
        <v>0</v>
      </c>
      <c r="F22" s="727">
        <f>+landbouw!E8</f>
        <v>2336.2608956883628</v>
      </c>
      <c r="G22" s="727">
        <f>+landbouw!F8</f>
        <v>320307.61955609289</v>
      </c>
      <c r="H22" s="727">
        <f>+landbouw!G8</f>
        <v>0</v>
      </c>
      <c r="I22" s="727">
        <f>+landbouw!H8</f>
        <v>0</v>
      </c>
      <c r="J22" s="727">
        <f>+landbouw!I8</f>
        <v>0</v>
      </c>
      <c r="K22" s="727">
        <f>+landbouw!J8</f>
        <v>11515.442660315859</v>
      </c>
      <c r="L22" s="727">
        <f>+landbouw!K8</f>
        <v>0</v>
      </c>
      <c r="M22" s="727">
        <f>+landbouw!L8</f>
        <v>0</v>
      </c>
      <c r="N22" s="727">
        <f>+landbouw!M8</f>
        <v>0</v>
      </c>
      <c r="O22" s="727">
        <f>+landbouw!N8</f>
        <v>0</v>
      </c>
      <c r="P22" s="727">
        <f>+landbouw!O8</f>
        <v>0</v>
      </c>
      <c r="Q22" s="728">
        <f>+landbouw!P8</f>
        <v>0</v>
      </c>
      <c r="R22" s="729">
        <f>SUM(C22:Q22)</f>
        <v>565832.75711209711</v>
      </c>
      <c r="S22" s="67"/>
    </row>
    <row r="23" spans="1:19" s="474" customFormat="1" ht="17.25" thickTop="1" thickBot="1">
      <c r="A23" s="734" t="s">
        <v>116</v>
      </c>
      <c r="B23" s="864"/>
      <c r="C23" s="735">
        <f ca="1">C20+C15+C22</f>
        <v>123348.7429546468</v>
      </c>
      <c r="D23" s="735">
        <f t="shared" ref="D23:Q23" ca="1" si="2">D20+D15+D22</f>
        <v>152190.00000000003</v>
      </c>
      <c r="E23" s="735">
        <f t="shared" ca="1" si="2"/>
        <v>80915.111625220015</v>
      </c>
      <c r="F23" s="735">
        <f t="shared" si="2"/>
        <v>4788.7247712620083</v>
      </c>
      <c r="G23" s="735">
        <f t="shared" ca="1" si="2"/>
        <v>325252.4140130296</v>
      </c>
      <c r="H23" s="735">
        <f t="shared" si="2"/>
        <v>35108.020897555223</v>
      </c>
      <c r="I23" s="735">
        <f t="shared" si="2"/>
        <v>7262.72055414636</v>
      </c>
      <c r="J23" s="735">
        <f t="shared" si="2"/>
        <v>0</v>
      </c>
      <c r="K23" s="735">
        <f t="shared" si="2"/>
        <v>11516.554528638309</v>
      </c>
      <c r="L23" s="735">
        <f t="shared" si="2"/>
        <v>0</v>
      </c>
      <c r="M23" s="735">
        <f t="shared" ca="1" si="2"/>
        <v>0</v>
      </c>
      <c r="N23" s="735">
        <f t="shared" si="2"/>
        <v>2264.5970893552962</v>
      </c>
      <c r="O23" s="735">
        <f t="shared" ca="1" si="2"/>
        <v>30840.479145828969</v>
      </c>
      <c r="P23" s="735">
        <f t="shared" si="2"/>
        <v>201.67</v>
      </c>
      <c r="Q23" s="736">
        <f t="shared" si="2"/>
        <v>800.8</v>
      </c>
      <c r="R23" s="737">
        <f ca="1">R20+R15+R22</f>
        <v>774489.83557968261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2392.3189551802407</v>
      </c>
      <c r="D36" s="718">
        <f ca="1">tertiair!C20</f>
        <v>0</v>
      </c>
      <c r="E36" s="718">
        <f ca="1">tertiair!D20</f>
        <v>3975.6890206703997</v>
      </c>
      <c r="F36" s="718">
        <f>tertiair!E20</f>
        <v>33.68888736152477</v>
      </c>
      <c r="G36" s="718">
        <f ca="1">tertiair!F20</f>
        <v>472.29260187185423</v>
      </c>
      <c r="H36" s="718">
        <f>tertiair!G20</f>
        <v>0</v>
      </c>
      <c r="I36" s="718">
        <f>tertiair!H20</f>
        <v>0</v>
      </c>
      <c r="J36" s="718">
        <f>tertiair!I20</f>
        <v>0</v>
      </c>
      <c r="K36" s="718">
        <f>tertiair!J20</f>
        <v>5.4945484449559524E-3</v>
      </c>
      <c r="L36" s="718">
        <f>tertiair!K20</f>
        <v>0</v>
      </c>
      <c r="M36" s="718">
        <f ca="1">tertiair!L20</f>
        <v>0</v>
      </c>
      <c r="N36" s="718">
        <f>tertiair!M20</f>
        <v>0</v>
      </c>
      <c r="O36" s="718">
        <f ca="1">tertiair!N20</f>
        <v>0</v>
      </c>
      <c r="P36" s="718">
        <f>tertiair!O20</f>
        <v>0</v>
      </c>
      <c r="Q36" s="828">
        <f>tertiair!P20</f>
        <v>0</v>
      </c>
      <c r="R36" s="917">
        <f ca="1">SUM(C36:Q36)</f>
        <v>6873.9949596324641</v>
      </c>
    </row>
    <row r="37" spans="1:18">
      <c r="A37" s="885" t="s">
        <v>225</v>
      </c>
      <c r="B37" s="892"/>
      <c r="C37" s="718">
        <f ca="1">huishoudens!B12</f>
        <v>4358.6282336269887</v>
      </c>
      <c r="D37" s="718">
        <f ca="1">huishoudens!C12</f>
        <v>0</v>
      </c>
      <c r="E37" s="718">
        <f>huishoudens!D12</f>
        <v>11824.928045601002</v>
      </c>
      <c r="F37" s="718">
        <f>huishoudens!E12</f>
        <v>254.94237181552799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16438.498651043519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2359.179963314275</v>
      </c>
      <c r="D39" s="718">
        <f ca="1">industrie!C22</f>
        <v>0</v>
      </c>
      <c r="E39" s="718">
        <f>industrie!D22</f>
        <v>531.27479609600005</v>
      </c>
      <c r="F39" s="718">
        <f>industrie!E22</f>
        <v>248.44622555502121</v>
      </c>
      <c r="G39" s="718">
        <f>industrie!F22</f>
        <v>847.96751813025139</v>
      </c>
      <c r="H39" s="718">
        <f>industrie!G22</f>
        <v>0</v>
      </c>
      <c r="I39" s="718">
        <f>industrie!H22</f>
        <v>0</v>
      </c>
      <c r="J39" s="718">
        <f>industrie!I22</f>
        <v>0</v>
      </c>
      <c r="K39" s="718">
        <f>industrie!J22</f>
        <v>0.38810683770256793</v>
      </c>
      <c r="L39" s="718">
        <f>industrie!K22</f>
        <v>0</v>
      </c>
      <c r="M39" s="718">
        <f>industrie!L22</f>
        <v>0</v>
      </c>
      <c r="N39" s="718">
        <f>industrie!M22</f>
        <v>0</v>
      </c>
      <c r="O39" s="718">
        <f>industrie!N22</f>
        <v>0</v>
      </c>
      <c r="P39" s="718">
        <f>industrie!O22</f>
        <v>0</v>
      </c>
      <c r="Q39" s="828">
        <f>industrie!P22</f>
        <v>0</v>
      </c>
      <c r="R39" s="918">
        <f ca="1">SUM(C39:Q39)</f>
        <v>3987.2566099332503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9110.127152121504</v>
      </c>
      <c r="D41" s="763">
        <f t="shared" ref="D41:R41" ca="1" si="4">SUM(D35:D40)</f>
        <v>0</v>
      </c>
      <c r="E41" s="763">
        <f t="shared" ca="1" si="4"/>
        <v>16331.891862367402</v>
      </c>
      <c r="F41" s="763">
        <f t="shared" si="4"/>
        <v>537.07748473207403</v>
      </c>
      <c r="G41" s="763">
        <f t="shared" ca="1" si="4"/>
        <v>1320.2601200021056</v>
      </c>
      <c r="H41" s="763">
        <f t="shared" si="4"/>
        <v>0</v>
      </c>
      <c r="I41" s="763">
        <f t="shared" si="4"/>
        <v>0</v>
      </c>
      <c r="J41" s="763">
        <f t="shared" si="4"/>
        <v>0</v>
      </c>
      <c r="K41" s="763">
        <f t="shared" si="4"/>
        <v>0.39360138614752388</v>
      </c>
      <c r="L41" s="763">
        <f t="shared" si="4"/>
        <v>0</v>
      </c>
      <c r="M41" s="763">
        <f t="shared" ca="1" si="4"/>
        <v>0</v>
      </c>
      <c r="N41" s="763">
        <f t="shared" si="4"/>
        <v>0</v>
      </c>
      <c r="O41" s="763">
        <f t="shared" ca="1" si="4"/>
        <v>0</v>
      </c>
      <c r="P41" s="763">
        <f t="shared" si="4"/>
        <v>0</v>
      </c>
      <c r="Q41" s="764">
        <f t="shared" si="4"/>
        <v>0</v>
      </c>
      <c r="R41" s="765">
        <f t="shared" ca="1" si="4"/>
        <v>27299.750220609236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156.01559486810959</v>
      </c>
      <c r="D44" s="718">
        <f ca="1">transport!C58</f>
        <v>0</v>
      </c>
      <c r="E44" s="718">
        <f>transport!D58</f>
        <v>0</v>
      </c>
      <c r="F44" s="718">
        <f>transport!E58</f>
        <v>0</v>
      </c>
      <c r="G44" s="718">
        <f>transport!F58</f>
        <v>0</v>
      </c>
      <c r="H44" s="718">
        <f>transport!G58</f>
        <v>354.67764343449903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510.69323830260862</v>
      </c>
    </row>
    <row r="45" spans="1:18" ht="15" thickBot="1">
      <c r="A45" s="888" t="s">
        <v>307</v>
      </c>
      <c r="B45" s="898"/>
      <c r="C45" s="727">
        <f ca="1">transport!B18</f>
        <v>4.1632472518951884</v>
      </c>
      <c r="D45" s="727">
        <f>transport!C18</f>
        <v>0</v>
      </c>
      <c r="E45" s="727">
        <f>transport!D18</f>
        <v>12.960685927042883</v>
      </c>
      <c r="F45" s="727">
        <f>transport!E18</f>
        <v>19.63181502314357</v>
      </c>
      <c r="G45" s="727">
        <f>transport!F18</f>
        <v>0</v>
      </c>
      <c r="H45" s="727">
        <f>transport!G18</f>
        <v>9019.1639362127462</v>
      </c>
      <c r="I45" s="727">
        <f>transport!H18</f>
        <v>1808.4174179824436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10864.337102397272</v>
      </c>
    </row>
    <row r="46" spans="1:18" ht="15.75" thickBot="1">
      <c r="A46" s="886" t="s">
        <v>230</v>
      </c>
      <c r="B46" s="899"/>
      <c r="C46" s="763">
        <f t="shared" ref="C46:R46" ca="1" si="5">SUM(C43:C45)</f>
        <v>160.17884212000479</v>
      </c>
      <c r="D46" s="763">
        <f t="shared" ca="1" si="5"/>
        <v>0</v>
      </c>
      <c r="E46" s="763">
        <f t="shared" si="5"/>
        <v>12.960685927042883</v>
      </c>
      <c r="F46" s="763">
        <f t="shared" si="5"/>
        <v>19.63181502314357</v>
      </c>
      <c r="G46" s="763">
        <f t="shared" si="5"/>
        <v>0</v>
      </c>
      <c r="H46" s="763">
        <f t="shared" si="5"/>
        <v>9373.8415796472455</v>
      </c>
      <c r="I46" s="763">
        <f t="shared" si="5"/>
        <v>1808.4174179824436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11375.030340699881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16797.687562509316</v>
      </c>
      <c r="D48" s="718">
        <f ca="1">+landbouw!C12</f>
        <v>32725.450210084044</v>
      </c>
      <c r="E48" s="718">
        <f>+landbouw!D12</f>
        <v>0</v>
      </c>
      <c r="F48" s="718">
        <f>+landbouw!E12</f>
        <v>530.33122332125834</v>
      </c>
      <c r="G48" s="718">
        <f>+landbouw!F12</f>
        <v>85522.134421476803</v>
      </c>
      <c r="H48" s="718">
        <f>+landbouw!G12</f>
        <v>0</v>
      </c>
      <c r="I48" s="718">
        <f>+landbouw!H12</f>
        <v>0</v>
      </c>
      <c r="J48" s="718">
        <f>+landbouw!I12</f>
        <v>0</v>
      </c>
      <c r="K48" s="718">
        <f>+landbouw!J12</f>
        <v>4076.4667017518141</v>
      </c>
      <c r="L48" s="718">
        <f>+landbouw!K12</f>
        <v>0</v>
      </c>
      <c r="M48" s="718">
        <f>+landbouw!L12</f>
        <v>0</v>
      </c>
      <c r="N48" s="718">
        <f>+landbouw!M12</f>
        <v>0</v>
      </c>
      <c r="O48" s="718">
        <f>+landbouw!N12</f>
        <v>0</v>
      </c>
      <c r="P48" s="718">
        <f>+landbouw!O12</f>
        <v>0</v>
      </c>
      <c r="Q48" s="719">
        <f>+landbouw!P12</f>
        <v>0</v>
      </c>
      <c r="R48" s="761">
        <f ca="1">SUM(C48:Q48)</f>
        <v>139652.07011914323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26067.993556750826</v>
      </c>
      <c r="D53" s="773">
        <f t="shared" ref="D53:Q53" ca="1" si="6">D41+D46+D48</f>
        <v>32725.450210084044</v>
      </c>
      <c r="E53" s="773">
        <f t="shared" ca="1" si="6"/>
        <v>16344.852548294444</v>
      </c>
      <c r="F53" s="773">
        <f t="shared" si="6"/>
        <v>1087.0405230764759</v>
      </c>
      <c r="G53" s="773">
        <f t="shared" ca="1" si="6"/>
        <v>86842.394541478905</v>
      </c>
      <c r="H53" s="773">
        <f t="shared" si="6"/>
        <v>9373.8415796472455</v>
      </c>
      <c r="I53" s="773">
        <f t="shared" si="6"/>
        <v>1808.4174179824436</v>
      </c>
      <c r="J53" s="773">
        <f t="shared" si="6"/>
        <v>0</v>
      </c>
      <c r="K53" s="773">
        <f t="shared" si="6"/>
        <v>4076.8603031379616</v>
      </c>
      <c r="L53" s="773">
        <f t="shared" si="6"/>
        <v>0</v>
      </c>
      <c r="M53" s="773">
        <f t="shared" ca="1" si="6"/>
        <v>0</v>
      </c>
      <c r="N53" s="773">
        <f t="shared" si="6"/>
        <v>0</v>
      </c>
      <c r="O53" s="773">
        <f t="shared" ca="1" si="6"/>
        <v>0</v>
      </c>
      <c r="P53" s="773">
        <f>P41+P46+P48</f>
        <v>0</v>
      </c>
      <c r="Q53" s="774">
        <f t="shared" si="6"/>
        <v>0</v>
      </c>
      <c r="R53" s="775">
        <f ca="1">R41+R46+R48</f>
        <v>178326.85068045236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0.21133570502891608</v>
      </c>
      <c r="D55" s="836">
        <f t="shared" ca="1" si="7"/>
        <v>0.21503022675658084</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2516.2931370359602</v>
      </c>
      <c r="C66" s="795">
        <f>'lokale energieproductie'!B6</f>
        <v>2516.2931370359602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106533</v>
      </c>
      <c r="C67" s="794">
        <f>B67*IFERROR(SUM(J67:L67)/SUM(D67:M67),0)</f>
        <v>11356.875000000002</v>
      </c>
      <c r="D67" s="826">
        <f>'lokale energieproductie'!C7</f>
        <v>107518.23529411765</v>
      </c>
      <c r="E67" s="827">
        <f>'lokale energieproductie'!D7</f>
        <v>0</v>
      </c>
      <c r="F67" s="827">
        <f>'lokale energieproductie'!E7</f>
        <v>4453.676470588236</v>
      </c>
      <c r="G67" s="827">
        <f>'lokale energieproductie'!F7</f>
        <v>0</v>
      </c>
      <c r="H67" s="827">
        <f>'lokale energieproductie'!G7</f>
        <v>0</v>
      </c>
      <c r="I67" s="827">
        <f>'lokale energieproductie'!H7</f>
        <v>0</v>
      </c>
      <c r="J67" s="827">
        <f>'lokale energieproductie'!I7</f>
        <v>13361.029411764708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22907.815147058827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109049.29313703596</v>
      </c>
      <c r="C69" s="803">
        <f>SUM(C64:C68)</f>
        <v>13873.168137035962</v>
      </c>
      <c r="D69" s="804">
        <f t="shared" ref="D69:M69" si="8">SUM(D67:D68)</f>
        <v>107518.23529411765</v>
      </c>
      <c r="E69" s="804">
        <f t="shared" si="8"/>
        <v>0</v>
      </c>
      <c r="F69" s="804">
        <f t="shared" si="8"/>
        <v>4453.676470588236</v>
      </c>
      <c r="G69" s="804">
        <f t="shared" si="8"/>
        <v>0</v>
      </c>
      <c r="H69" s="804">
        <f t="shared" si="8"/>
        <v>0</v>
      </c>
      <c r="I69" s="804">
        <f t="shared" si="8"/>
        <v>0</v>
      </c>
      <c r="J69" s="804">
        <f t="shared" si="8"/>
        <v>13361.029411764708</v>
      </c>
      <c r="K69" s="804">
        <f t="shared" si="8"/>
        <v>0</v>
      </c>
      <c r="L69" s="804">
        <f t="shared" si="8"/>
        <v>0</v>
      </c>
      <c r="M69" s="930">
        <f t="shared" si="8"/>
        <v>0</v>
      </c>
      <c r="N69" s="805">
        <v>0</v>
      </c>
      <c r="O69" s="805">
        <f>SUM(O67:O68)</f>
        <v>22907.815147058827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152190.00000000003</v>
      </c>
      <c r="C78" s="817">
        <f>B78*IFERROR(SUM(I78:L78)/SUM(D78:M78),0)</f>
        <v>16224.107142857145</v>
      </c>
      <c r="D78" s="832">
        <f>'lokale energieproductie'!C16</f>
        <v>153597.47899159667</v>
      </c>
      <c r="E78" s="832">
        <f>'lokale energieproductie'!D16</f>
        <v>0</v>
      </c>
      <c r="F78" s="832">
        <f>'lokale energieproductie'!E16</f>
        <v>6362.3949579831951</v>
      </c>
      <c r="G78" s="832">
        <f>'lokale energieproductie'!F16</f>
        <v>0</v>
      </c>
      <c r="H78" s="832">
        <f>'lokale energieproductie'!G16</f>
        <v>0</v>
      </c>
      <c r="I78" s="832">
        <f>'lokale energieproductie'!H16</f>
        <v>0</v>
      </c>
      <c r="J78" s="832">
        <f>'lokale energieproductie'!I16</f>
        <v>19087.184873949584</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32725.450210084044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152190.00000000003</v>
      </c>
      <c r="C81" s="803">
        <f>SUM(C78:C80)</f>
        <v>16224.107142857145</v>
      </c>
      <c r="D81" s="803">
        <f t="shared" ref="D81:P81" si="9">SUM(D78:D80)</f>
        <v>153597.47899159667</v>
      </c>
      <c r="E81" s="803">
        <f t="shared" si="9"/>
        <v>0</v>
      </c>
      <c r="F81" s="803">
        <f t="shared" si="9"/>
        <v>6362.3949579831951</v>
      </c>
      <c r="G81" s="803">
        <f t="shared" si="9"/>
        <v>0</v>
      </c>
      <c r="H81" s="803">
        <f t="shared" si="9"/>
        <v>0</v>
      </c>
      <c r="I81" s="803">
        <f t="shared" si="9"/>
        <v>0</v>
      </c>
      <c r="J81" s="803">
        <f t="shared" si="9"/>
        <v>19087.184873949584</v>
      </c>
      <c r="K81" s="803">
        <f t="shared" si="9"/>
        <v>0</v>
      </c>
      <c r="L81" s="803">
        <f t="shared" si="9"/>
        <v>0</v>
      </c>
      <c r="M81" s="803">
        <f t="shared" si="9"/>
        <v>0</v>
      </c>
      <c r="N81" s="803">
        <v>0</v>
      </c>
      <c r="O81" s="803">
        <f>SUM(O78:O80)</f>
        <v>32725.450210084044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20624.192362717971</v>
      </c>
      <c r="C4" s="478">
        <f>huishoudens!C8</f>
        <v>0</v>
      </c>
      <c r="D4" s="478">
        <f>huishoudens!D8</f>
        <v>58539.247750500006</v>
      </c>
      <c r="E4" s="478">
        <f>huishoudens!E8</f>
        <v>1123.0941489670836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8350.78667061132</v>
      </c>
      <c r="O4" s="478">
        <f>huishoudens!O8</f>
        <v>198.54333333333332</v>
      </c>
      <c r="P4" s="479">
        <f>huishoudens!P8</f>
        <v>800.8</v>
      </c>
      <c r="Q4" s="480">
        <f>SUM(B4:P4)</f>
        <v>89636.664266129708</v>
      </c>
    </row>
    <row r="5" spans="1:17">
      <c r="A5" s="477" t="s">
        <v>156</v>
      </c>
      <c r="B5" s="478">
        <f ca="1">tertiair!B16</f>
        <v>10755.781199999999</v>
      </c>
      <c r="C5" s="478">
        <f ca="1">tertiair!C16</f>
        <v>0</v>
      </c>
      <c r="D5" s="478">
        <f ca="1">tertiair!D16</f>
        <v>19681.628815199998</v>
      </c>
      <c r="E5" s="478">
        <f>tertiair!E16</f>
        <v>148.40919542521925</v>
      </c>
      <c r="F5" s="478">
        <f ca="1">tertiair!F16</f>
        <v>1768.8861493327872</v>
      </c>
      <c r="G5" s="478">
        <f>tertiair!G16</f>
        <v>0</v>
      </c>
      <c r="H5" s="478">
        <f>tertiair!H16</f>
        <v>0</v>
      </c>
      <c r="I5" s="478">
        <f>tertiair!I16</f>
        <v>0</v>
      </c>
      <c r="J5" s="478">
        <f>tertiair!J16</f>
        <v>1.5521323290836025E-2</v>
      </c>
      <c r="K5" s="478">
        <f>tertiair!K16</f>
        <v>0</v>
      </c>
      <c r="L5" s="478">
        <f ca="1">tertiair!L16</f>
        <v>0</v>
      </c>
      <c r="M5" s="478">
        <f>tertiair!M16</f>
        <v>0</v>
      </c>
      <c r="N5" s="478">
        <f ca="1">tertiair!N16</f>
        <v>639.25245458198765</v>
      </c>
      <c r="O5" s="478">
        <f>tertiair!O16</f>
        <v>3.1266666666666669</v>
      </c>
      <c r="P5" s="479">
        <f>tertiair!P16</f>
        <v>0</v>
      </c>
      <c r="Q5" s="477">
        <f t="shared" ref="Q5:Q13" ca="1" si="0">SUM(B5:P5)</f>
        <v>32997.100002529944</v>
      </c>
    </row>
    <row r="6" spans="1:17">
      <c r="A6" s="477" t="s">
        <v>194</v>
      </c>
      <c r="B6" s="478">
        <f>'openbare verlichting'!B8</f>
        <v>564.21299999999997</v>
      </c>
      <c r="C6" s="478"/>
      <c r="D6" s="478"/>
      <c r="E6" s="478"/>
      <c r="F6" s="478"/>
      <c r="G6" s="478"/>
      <c r="H6" s="478"/>
      <c r="I6" s="478"/>
      <c r="J6" s="478"/>
      <c r="K6" s="478"/>
      <c r="L6" s="478"/>
      <c r="M6" s="478"/>
      <c r="N6" s="478"/>
      <c r="O6" s="478"/>
      <c r="P6" s="479"/>
      <c r="Q6" s="477">
        <f t="shared" si="0"/>
        <v>564.21299999999997</v>
      </c>
    </row>
    <row r="7" spans="1:17">
      <c r="A7" s="477" t="s">
        <v>112</v>
      </c>
      <c r="B7" s="478">
        <f>landbouw!B8</f>
        <v>79483.433999999994</v>
      </c>
      <c r="C7" s="478">
        <f>landbouw!C8</f>
        <v>152190.00000000003</v>
      </c>
      <c r="D7" s="478">
        <f>landbouw!D8</f>
        <v>0</v>
      </c>
      <c r="E7" s="478">
        <f>landbouw!E8</f>
        <v>2336.2608956883628</v>
      </c>
      <c r="F7" s="478">
        <f>landbouw!F8</f>
        <v>320307.61955609289</v>
      </c>
      <c r="G7" s="478">
        <f>landbouw!G8</f>
        <v>0</v>
      </c>
      <c r="H7" s="478">
        <f>landbouw!H8</f>
        <v>0</v>
      </c>
      <c r="I7" s="478">
        <f>landbouw!I8</f>
        <v>0</v>
      </c>
      <c r="J7" s="478">
        <f>landbouw!J8</f>
        <v>11515.442660315859</v>
      </c>
      <c r="K7" s="478">
        <f>landbouw!K8</f>
        <v>0</v>
      </c>
      <c r="L7" s="478">
        <f>landbouw!L8</f>
        <v>0</v>
      </c>
      <c r="M7" s="478">
        <f>landbouw!M8</f>
        <v>0</v>
      </c>
      <c r="N7" s="478">
        <f>landbouw!N8</f>
        <v>0</v>
      </c>
      <c r="O7" s="478">
        <f>landbouw!O8</f>
        <v>0</v>
      </c>
      <c r="P7" s="479">
        <f>landbouw!P8</f>
        <v>0</v>
      </c>
      <c r="Q7" s="477">
        <f t="shared" si="0"/>
        <v>565832.75711209711</v>
      </c>
    </row>
    <row r="8" spans="1:17">
      <c r="A8" s="477" t="s">
        <v>635</v>
      </c>
      <c r="B8" s="478">
        <f>industrie!B18</f>
        <v>11163.18685</v>
      </c>
      <c r="C8" s="478">
        <f>industrie!C18</f>
        <v>0</v>
      </c>
      <c r="D8" s="478">
        <f>industrie!D18</f>
        <v>2630.0732480000001</v>
      </c>
      <c r="E8" s="478">
        <f>industrie!E18</f>
        <v>1094.4767645595648</v>
      </c>
      <c r="F8" s="478">
        <f>industrie!F18</f>
        <v>3175.9083076039378</v>
      </c>
      <c r="G8" s="478">
        <f>industrie!G18</f>
        <v>0</v>
      </c>
      <c r="H8" s="478">
        <f>industrie!H18</f>
        <v>0</v>
      </c>
      <c r="I8" s="478">
        <f>industrie!I18</f>
        <v>0</v>
      </c>
      <c r="J8" s="478">
        <f>industrie!J18</f>
        <v>1.0963469991597965</v>
      </c>
      <c r="K8" s="478">
        <f>industrie!K18</f>
        <v>0</v>
      </c>
      <c r="L8" s="478">
        <f>industrie!L18</f>
        <v>0</v>
      </c>
      <c r="M8" s="478">
        <f>industrie!M18</f>
        <v>0</v>
      </c>
      <c r="N8" s="478">
        <f>industrie!N18</f>
        <v>21850.440020635662</v>
      </c>
      <c r="O8" s="478">
        <f>industrie!O18</f>
        <v>0</v>
      </c>
      <c r="P8" s="479">
        <f>industrie!P18</f>
        <v>0</v>
      </c>
      <c r="Q8" s="477">
        <f t="shared" si="0"/>
        <v>39915.181537798329</v>
      </c>
    </row>
    <row r="9" spans="1:17" s="483" customFormat="1">
      <c r="A9" s="481" t="s">
        <v>561</v>
      </c>
      <c r="B9" s="482">
        <f>transport!B14</f>
        <v>19.699687051582462</v>
      </c>
      <c r="C9" s="482">
        <f>transport!C14</f>
        <v>0</v>
      </c>
      <c r="D9" s="482">
        <f>transport!D14</f>
        <v>64.161811520014268</v>
      </c>
      <c r="E9" s="482">
        <f>transport!E14</f>
        <v>86.483766621777846</v>
      </c>
      <c r="F9" s="482">
        <f>transport!F14</f>
        <v>0</v>
      </c>
      <c r="G9" s="482">
        <f>transport!G14</f>
        <v>33779.640210534628</v>
      </c>
      <c r="H9" s="482">
        <f>transport!H14</f>
        <v>7262.72055414636</v>
      </c>
      <c r="I9" s="482">
        <f>transport!I14</f>
        <v>0</v>
      </c>
      <c r="J9" s="482">
        <f>transport!J14</f>
        <v>0</v>
      </c>
      <c r="K9" s="482">
        <f>transport!K14</f>
        <v>0</v>
      </c>
      <c r="L9" s="482">
        <f>transport!L14</f>
        <v>0</v>
      </c>
      <c r="M9" s="482">
        <f>transport!M14</f>
        <v>2189.1509305705372</v>
      </c>
      <c r="N9" s="482">
        <f>transport!N14</f>
        <v>0</v>
      </c>
      <c r="O9" s="482">
        <f>transport!O14</f>
        <v>0</v>
      </c>
      <c r="P9" s="482">
        <f>transport!P14</f>
        <v>0</v>
      </c>
      <c r="Q9" s="481">
        <f>SUM(B9:P9)</f>
        <v>43401.856960444908</v>
      </c>
    </row>
    <row r="10" spans="1:17">
      <c r="A10" s="477" t="s">
        <v>551</v>
      </c>
      <c r="B10" s="478">
        <f>transport!B54</f>
        <v>738.23585487725654</v>
      </c>
      <c r="C10" s="478">
        <f>transport!C54</f>
        <v>0</v>
      </c>
      <c r="D10" s="478">
        <f>transport!D54</f>
        <v>0</v>
      </c>
      <c r="E10" s="478">
        <f>transport!E54</f>
        <v>0</v>
      </c>
      <c r="F10" s="478">
        <f>transport!F54</f>
        <v>0</v>
      </c>
      <c r="G10" s="478">
        <f>transport!G54</f>
        <v>1328.3806870205956</v>
      </c>
      <c r="H10" s="478">
        <f>transport!H54</f>
        <v>0</v>
      </c>
      <c r="I10" s="478">
        <f>transport!I54</f>
        <v>0</v>
      </c>
      <c r="J10" s="478">
        <f>transport!J54</f>
        <v>0</v>
      </c>
      <c r="K10" s="478">
        <f>transport!K54</f>
        <v>0</v>
      </c>
      <c r="L10" s="478">
        <f>transport!L54</f>
        <v>0</v>
      </c>
      <c r="M10" s="478">
        <f>transport!M54</f>
        <v>75.446158784759191</v>
      </c>
      <c r="N10" s="478">
        <f>transport!N54</f>
        <v>0</v>
      </c>
      <c r="O10" s="478">
        <f>transport!O54</f>
        <v>0</v>
      </c>
      <c r="P10" s="479">
        <f>transport!P54</f>
        <v>0</v>
      </c>
      <c r="Q10" s="477">
        <f t="shared" si="0"/>
        <v>2142.0627006826112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123348.7429546468</v>
      </c>
      <c r="C14" s="488">
        <f t="shared" ref="C14:Q14" ca="1" si="1">SUM(C4:C13)</f>
        <v>152190.00000000003</v>
      </c>
      <c r="D14" s="488">
        <f t="shared" ca="1" si="1"/>
        <v>80915.111625220015</v>
      </c>
      <c r="E14" s="488">
        <f t="shared" si="1"/>
        <v>4788.7247712620083</v>
      </c>
      <c r="F14" s="488">
        <f t="shared" ca="1" si="1"/>
        <v>325252.4140130296</v>
      </c>
      <c r="G14" s="488">
        <f t="shared" si="1"/>
        <v>35108.020897555223</v>
      </c>
      <c r="H14" s="488">
        <f t="shared" si="1"/>
        <v>7262.72055414636</v>
      </c>
      <c r="I14" s="488">
        <f t="shared" si="1"/>
        <v>0</v>
      </c>
      <c r="J14" s="488">
        <f t="shared" si="1"/>
        <v>11516.554528638309</v>
      </c>
      <c r="K14" s="488">
        <f t="shared" si="1"/>
        <v>0</v>
      </c>
      <c r="L14" s="488">
        <f t="shared" ca="1" si="1"/>
        <v>0</v>
      </c>
      <c r="M14" s="488">
        <f t="shared" si="1"/>
        <v>2264.5970893552962</v>
      </c>
      <c r="N14" s="488">
        <f t="shared" ca="1" si="1"/>
        <v>30840.479145828969</v>
      </c>
      <c r="O14" s="488">
        <f t="shared" si="1"/>
        <v>201.67</v>
      </c>
      <c r="P14" s="489">
        <f t="shared" si="1"/>
        <v>800.8</v>
      </c>
      <c r="Q14" s="489">
        <f t="shared" ca="1" si="1"/>
        <v>774489.83557968272</v>
      </c>
    </row>
    <row r="16" spans="1:17">
      <c r="A16" s="491" t="s">
        <v>556</v>
      </c>
      <c r="B16" s="841">
        <f ca="1">huishoudens!B10</f>
        <v>0.21133570502891608</v>
      </c>
      <c r="C16" s="841">
        <f ca="1">huishoudens!C10</f>
        <v>0.21503022675658084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4358.6282336269887</v>
      </c>
      <c r="C21" s="478">
        <f t="shared" ref="C21:C30" ca="1" si="3">C4*$C$16</f>
        <v>0</v>
      </c>
      <c r="D21" s="478">
        <f t="shared" ref="D21:D30" si="4">D4*$D$16</f>
        <v>11824.928045601002</v>
      </c>
      <c r="E21" s="478">
        <f t="shared" ref="E21:E30" si="5">E4*$E$16</f>
        <v>254.94237181552799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16438.498651043519</v>
      </c>
    </row>
    <row r="22" spans="1:17">
      <c r="A22" s="477" t="s">
        <v>156</v>
      </c>
      <c r="B22" s="478">
        <f t="shared" ca="1" si="2"/>
        <v>2273.0806030387607</v>
      </c>
      <c r="C22" s="478">
        <f t="shared" ca="1" si="3"/>
        <v>0</v>
      </c>
      <c r="D22" s="478">
        <f t="shared" ca="1" si="4"/>
        <v>3975.6890206703997</v>
      </c>
      <c r="E22" s="478">
        <f t="shared" si="5"/>
        <v>33.68888736152477</v>
      </c>
      <c r="F22" s="478">
        <f t="shared" ca="1" si="6"/>
        <v>472.29260187185423</v>
      </c>
      <c r="G22" s="478">
        <f t="shared" si="7"/>
        <v>0</v>
      </c>
      <c r="H22" s="478">
        <f t="shared" si="8"/>
        <v>0</v>
      </c>
      <c r="I22" s="478">
        <f t="shared" si="9"/>
        <v>0</v>
      </c>
      <c r="J22" s="478">
        <f t="shared" si="10"/>
        <v>5.4945484449559524E-3</v>
      </c>
      <c r="K22" s="478">
        <f t="shared" si="11"/>
        <v>0</v>
      </c>
      <c r="L22" s="478">
        <f t="shared" ca="1" si="12"/>
        <v>0</v>
      </c>
      <c r="M22" s="478">
        <f t="shared" si="13"/>
        <v>0</v>
      </c>
      <c r="N22" s="478">
        <f t="shared" ca="1" si="14"/>
        <v>0</v>
      </c>
      <c r="O22" s="478">
        <f t="shared" si="15"/>
        <v>0</v>
      </c>
      <c r="P22" s="479">
        <f t="shared" si="16"/>
        <v>0</v>
      </c>
      <c r="Q22" s="477">
        <f t="shared" ref="Q22:Q30" ca="1" si="17">SUM(B22:P22)</f>
        <v>6754.7566074909846</v>
      </c>
    </row>
    <row r="23" spans="1:17">
      <c r="A23" s="477" t="s">
        <v>194</v>
      </c>
      <c r="B23" s="478">
        <f t="shared" ca="1" si="2"/>
        <v>119.23835214147982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119.23835214147982</v>
      </c>
    </row>
    <row r="24" spans="1:17">
      <c r="A24" s="477" t="s">
        <v>112</v>
      </c>
      <c r="B24" s="478">
        <f t="shared" ca="1" si="2"/>
        <v>16797.687562509316</v>
      </c>
      <c r="C24" s="478">
        <f t="shared" ca="1" si="3"/>
        <v>32725.450210084044</v>
      </c>
      <c r="D24" s="478">
        <f t="shared" si="4"/>
        <v>0</v>
      </c>
      <c r="E24" s="478">
        <f t="shared" si="5"/>
        <v>530.33122332125834</v>
      </c>
      <c r="F24" s="478">
        <f t="shared" si="6"/>
        <v>85522.134421476803</v>
      </c>
      <c r="G24" s="478">
        <f t="shared" si="7"/>
        <v>0</v>
      </c>
      <c r="H24" s="478">
        <f t="shared" si="8"/>
        <v>0</v>
      </c>
      <c r="I24" s="478">
        <f t="shared" si="9"/>
        <v>0</v>
      </c>
      <c r="J24" s="478">
        <f t="shared" si="10"/>
        <v>4076.4667017518141</v>
      </c>
      <c r="K24" s="478">
        <f t="shared" si="11"/>
        <v>0</v>
      </c>
      <c r="L24" s="478">
        <f t="shared" si="12"/>
        <v>0</v>
      </c>
      <c r="M24" s="478">
        <f t="shared" si="13"/>
        <v>0</v>
      </c>
      <c r="N24" s="478">
        <f t="shared" si="14"/>
        <v>0</v>
      </c>
      <c r="O24" s="478">
        <f t="shared" si="15"/>
        <v>0</v>
      </c>
      <c r="P24" s="479">
        <f t="shared" si="16"/>
        <v>0</v>
      </c>
      <c r="Q24" s="477">
        <f t="shared" ca="1" si="17"/>
        <v>139652.07011914323</v>
      </c>
    </row>
    <row r="25" spans="1:17">
      <c r="A25" s="477" t="s">
        <v>635</v>
      </c>
      <c r="B25" s="478">
        <f t="shared" ca="1" si="2"/>
        <v>2359.179963314275</v>
      </c>
      <c r="C25" s="478">
        <f t="shared" ca="1" si="3"/>
        <v>0</v>
      </c>
      <c r="D25" s="478">
        <f t="shared" si="4"/>
        <v>531.27479609600005</v>
      </c>
      <c r="E25" s="478">
        <f t="shared" si="5"/>
        <v>248.44622555502121</v>
      </c>
      <c r="F25" s="478">
        <f t="shared" si="6"/>
        <v>847.96751813025139</v>
      </c>
      <c r="G25" s="478">
        <f t="shared" si="7"/>
        <v>0</v>
      </c>
      <c r="H25" s="478">
        <f t="shared" si="8"/>
        <v>0</v>
      </c>
      <c r="I25" s="478">
        <f t="shared" si="9"/>
        <v>0</v>
      </c>
      <c r="J25" s="478">
        <f t="shared" si="10"/>
        <v>0.38810683770256793</v>
      </c>
      <c r="K25" s="478">
        <f t="shared" si="11"/>
        <v>0</v>
      </c>
      <c r="L25" s="478">
        <f t="shared" si="12"/>
        <v>0</v>
      </c>
      <c r="M25" s="478">
        <f t="shared" si="13"/>
        <v>0</v>
      </c>
      <c r="N25" s="478">
        <f t="shared" si="14"/>
        <v>0</v>
      </c>
      <c r="O25" s="478">
        <f t="shared" si="15"/>
        <v>0</v>
      </c>
      <c r="P25" s="479">
        <f t="shared" si="16"/>
        <v>0</v>
      </c>
      <c r="Q25" s="477">
        <f t="shared" ca="1" si="17"/>
        <v>3987.2566099332503</v>
      </c>
    </row>
    <row r="26" spans="1:17" s="483" customFormat="1">
      <c r="A26" s="481" t="s">
        <v>561</v>
      </c>
      <c r="B26" s="835">
        <f t="shared" ca="1" si="2"/>
        <v>4.1632472518951884</v>
      </c>
      <c r="C26" s="482">
        <f t="shared" ca="1" si="3"/>
        <v>0</v>
      </c>
      <c r="D26" s="482">
        <f t="shared" si="4"/>
        <v>12.960685927042883</v>
      </c>
      <c r="E26" s="482">
        <f t="shared" si="5"/>
        <v>19.63181502314357</v>
      </c>
      <c r="F26" s="482">
        <f t="shared" si="6"/>
        <v>0</v>
      </c>
      <c r="G26" s="482">
        <f t="shared" si="7"/>
        <v>9019.1639362127462</v>
      </c>
      <c r="H26" s="482">
        <f t="shared" si="8"/>
        <v>1808.4174179824436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10864.337102397272</v>
      </c>
    </row>
    <row r="27" spans="1:17">
      <c r="A27" s="477" t="s">
        <v>551</v>
      </c>
      <c r="B27" s="478">
        <f t="shared" ca="1" si="2"/>
        <v>156.01559486810959</v>
      </c>
      <c r="C27" s="478">
        <f t="shared" ca="1" si="3"/>
        <v>0</v>
      </c>
      <c r="D27" s="478">
        <f t="shared" si="4"/>
        <v>0</v>
      </c>
      <c r="E27" s="478">
        <f t="shared" si="5"/>
        <v>0</v>
      </c>
      <c r="F27" s="478">
        <f t="shared" si="6"/>
        <v>0</v>
      </c>
      <c r="G27" s="478">
        <f t="shared" si="7"/>
        <v>354.67764343449903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510.69323830260862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26067.993556750826</v>
      </c>
      <c r="C31" s="488">
        <f t="shared" ca="1" si="18"/>
        <v>32725.450210084044</v>
      </c>
      <c r="D31" s="488">
        <f t="shared" ca="1" si="18"/>
        <v>16344.852548294444</v>
      </c>
      <c r="E31" s="488">
        <f t="shared" si="18"/>
        <v>1087.0405230764759</v>
      </c>
      <c r="F31" s="488">
        <f t="shared" ca="1" si="18"/>
        <v>86842.394541478905</v>
      </c>
      <c r="G31" s="488">
        <f t="shared" si="18"/>
        <v>9373.8415796472455</v>
      </c>
      <c r="H31" s="488">
        <f t="shared" si="18"/>
        <v>1808.4174179824436</v>
      </c>
      <c r="I31" s="488">
        <f t="shared" si="18"/>
        <v>0</v>
      </c>
      <c r="J31" s="488">
        <f t="shared" si="18"/>
        <v>4076.8603031379616</v>
      </c>
      <c r="K31" s="488">
        <f t="shared" si="18"/>
        <v>0</v>
      </c>
      <c r="L31" s="488">
        <f t="shared" ca="1" si="18"/>
        <v>0</v>
      </c>
      <c r="M31" s="488">
        <f t="shared" si="18"/>
        <v>0</v>
      </c>
      <c r="N31" s="488">
        <f t="shared" ca="1" si="18"/>
        <v>0</v>
      </c>
      <c r="O31" s="488">
        <f t="shared" si="18"/>
        <v>0</v>
      </c>
      <c r="P31" s="489">
        <f t="shared" si="18"/>
        <v>0</v>
      </c>
      <c r="Q31" s="489">
        <f t="shared" ca="1" si="18"/>
        <v>178326.85068045231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0.21133570502891608</v>
      </c>
      <c r="C17" s="528">
        <f ca="1">'EF ele_warmte'!B22</f>
        <v>0.21503022675658084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0.21133570502891608</v>
      </c>
      <c r="C17" s="528">
        <f ca="1">'EF ele_warmte'!B22</f>
        <v>0.21503022675658084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0.21133570502891608</v>
      </c>
      <c r="C29" s="529">
        <f ca="1">'EF ele_warmte'!B22</f>
        <v>0.21503022675658084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2018-09-06T12:45:41Z</dcterms:modified>
</cp:coreProperties>
</file>