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E7" i="48"/>
  <c r="E24" s="1"/>
  <c r="D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P55"/>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O13" i="14" l="1"/>
  <c r="O15" s="1"/>
  <c r="Q5" i="48"/>
  <c r="F15" i="14"/>
  <c r="F23" s="1"/>
  <c r="F55" s="1"/>
  <c r="N22" i="16"/>
  <c r="O39" i="14" s="1"/>
  <c r="O41" s="1"/>
  <c r="O53" s="1"/>
  <c r="K41"/>
  <c r="K53" s="1"/>
  <c r="N25" i="48"/>
  <c r="N31" s="1"/>
  <c r="N14"/>
  <c r="E25"/>
  <c r="E31" s="1"/>
  <c r="E14"/>
  <c r="K13" i="14"/>
  <c r="K15" s="1"/>
  <c r="K23" s="1"/>
  <c r="K55" s="1"/>
  <c r="H55"/>
  <c r="E55"/>
  <c r="C78"/>
  <c r="C81" s="1"/>
  <c r="J14" i="48"/>
  <c r="J31"/>
  <c r="Q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<sst xmlns="http://schemas.openxmlformats.org/spreadsheetml/2006/main" count="1924" uniqueCount="818">
  <si>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</si>
  <si>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</si>
  <si>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</si>
  <si>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</si>
  <si>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</si>
  <si>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</si>
  <si>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</si>
  <si>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</si>
  <si>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</si>
  <si>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</si>
  <si>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</si>
  <si>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</si>
  <si>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</si>
  <si>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</si>
  <si>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</si>
  <si>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</si>
  <si>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</si>
  <si>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</si>
  <si>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</si>
  <si>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</si>
  <si>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</si>
  <si>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</si>
  <si>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</si>
  <si>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</si>
  <si>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</si>
  <si>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</si>
  <si>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</si>
  <si>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</si>
  <si>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</si>
  <si>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</si>
  <si>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</si>
  <si>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</si>
  <si>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</si>
  <si>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</si>
  <si>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</si>
  <si>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</si>
  <si>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</si>
  <si>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</si>
  <si>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</si>
  <si>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</si>
  <si>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</si>
  <si>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</si>
  <si>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</si>
  <si>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</si>
  <si>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</si>
  <si>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</si>
  <si>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</si>
  <si>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</si>
  <si>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</si>
  <si>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</si>
  <si>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</si>
  <si>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</si>
  <si>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</si>
  <si>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</si>
  <si>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</si>
  <si>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</si>
  <si>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</si>
  <si>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</si>
  <si>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</si>
  <si>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</si>
  <si>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</si>
  <si>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</si>
  <si>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</si>
  <si>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</si>
  <si>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</si>
  <si>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</si>
  <si>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</si>
  <si>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</si>
  <si>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</si>
  <si>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</si>
  <si>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</si>
  <si>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</si>
  <si>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</si>
  <si>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</si>
  <si>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</si>
  <si>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</si>
  <si>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</si>
  <si>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</si>
  <si>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</si>
  <si>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</si>
  <si>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</si>
  <si>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</si>
  <si>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</si>
  <si>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</si>
  <si>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</si>
  <si>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</si>
  <si>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</si>
  <si>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</si>
  <si>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</si>
  <si>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</si>
  <si>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</si>
  <si>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</si>
  <si>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</si>
  <si>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</si>
  <si>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</si>
  <si>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</si>
  <si>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</si>
  <si>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</si>
  <si>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</si>
  <si>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</si>
  <si>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</si>
  <si>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</si>
  <si>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</si>
  <si>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</si>
  <si>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</si>
  <si>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</si>
  <si>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</si>
  <si>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</si>
  <si>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</si>
  <si>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</si>
  <si>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</si>
  <si>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</si>
  <si>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</si>
  <si>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</si>
  <si>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</si>
  <si>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</si>
  <si>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</si>
  <si>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</si>
  <si>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</si>
  <si>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</si>
  <si>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</si>
  <si>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</si>
  <si>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</si>
  <si>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</si>
  <si>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</si>
  <si>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</si>
  <si>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</si>
  <si>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</si>
  <si>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</si>
  <si>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</si>
  <si>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</si>
  <si>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</si>
  <si>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</si>
  <si>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</si>
  <si>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</si>
  <si>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</si>
  <si>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</si>
  <si>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</si>
  <si>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</si>
  <si>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</si>
  <si>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</si>
  <si>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</si>
  <si>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</si>
  <si>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</si>
  <si>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</si>
  <si>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</si>
  <si>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</si>
  <si>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</si>
  <si>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</si>
  <si>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</si>
  <si>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</si>
  <si>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</si>
  <si>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</si>
  <si>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</si>
  <si>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</si>
  <si>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</si>
  <si>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</si>
  <si>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</si>
  <si>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</si>
  <si>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</si>
  <si>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</si>
  <si>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</si>
  <si>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</si>
  <si>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</si>
  <si>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</si>
  <si>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</si>
  <si>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</si>
  <si>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</si>
  <si>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</si>
  <si>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</si>
  <si>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</si>
  <si>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</si>
  <si>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</si>
  <si>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</si>
  <si>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</si>
  <si>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</si>
  <si>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</si>
  <si>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</si>
  <si>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</si>
  <si>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</si>
  <si>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</si>
  <si>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</si>
  <si>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</si>
  <si>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</si>
  <si>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</si>
  <si>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</si>
  <si>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</si>
  <si>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</si>
  <si>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</si>
  <si>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</si>
  <si>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</si>
  <si>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</si>
  <si>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</si>
  <si>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</si>
  <si>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</si>
  <si>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</si>
  <si>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</si>
  <si>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</si>
  <si>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</si>
  <si>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</si>
  <si>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</si>
  <si>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</si>
  <si>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</si>
  <si>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</si>
  <si>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</si>
  <si>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</si>
  <si>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</si>
  <si>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</si>
  <si>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</si>
  <si>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</si>
  <si>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</si>
  <si>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</si>
  <si>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</si>
  <si>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</si>
  <si>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</si>
  <si>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</si>
  <si>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</si>
  <si>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</si>
  <si>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</si>
  <si>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</si>
  <si>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</si>
  <si>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</si>
  <si>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</si>
  <si>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</si>
  <si>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</si>
  <si>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</si>
  <si>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</si>
  <si>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</si>
  <si>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</si>
  <si>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</si>
  <si>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</si>
  <si>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</si>
  <si>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</si>
  <si>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</si>
  <si>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</si>
  <si>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</si>
  <si>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</si>
  <si>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</si>
  <si>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</si>
  <si>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</si>
  <si>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</si>
  <si>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</si>
  <si>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</si>
  <si>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</si>
  <si>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</si>
  <si>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</si>
  <si>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</si>
  <si>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</si>
  <si>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</si>
  <si>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</si>
  <si>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</si>
  <si>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</si>
  <si>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</si>
  <si>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</si>
  <si>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</si>
  <si>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</si>
  <si>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</si>
  <si>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</si>
  <si>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</si>
  <si>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</si>
  <si>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</si>
  <si>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</si>
  <si>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</si>
  <si>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</si>
  <si>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</si>
  <si>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</si>
  <si>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</si>
  <si>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</si>
  <si>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</si>
  <si>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</si>
  <si>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</si>
  <si>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</si>
  <si>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</si>
  <si>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</si>
  <si>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</si>
  <si>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</si>
  <si>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</si>
  <si>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</si>
  <si>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</si>
  <si>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</si>
  <si>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</si>
  <si>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</si>
  <si>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</si>
  <si>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</si>
  <si>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</si>
  <si>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</si>
  <si>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</si>
  <si>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</si>
  <si>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</si>
  <si>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</si>
  <si>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</si>
  <si>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</si>
  <si>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</si>
  <si>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</si>
  <si>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</si>
  <si>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</si>
  <si>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</si>
  <si>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</si>
  <si>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</si>
  <si>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</si>
  <si>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</si>
  <si>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</si>
  <si>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</si>
  <si>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</si>
  <si>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</si>
  <si>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</si>
  <si>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</si>
  <si>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</si>
  <si>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</si>
  <si>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</si>
  <si>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</si>
  <si>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</si>
  <si>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</si>
  <si>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</si>
  <si>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</si>
  <si>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</si>
  <si>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</si>
  <si>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</si>
  <si>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</si>
  <si>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</si>
  <si>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</si>
  <si>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</si>
  <si>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</si>
  <si>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</si>
  <si>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</si>
  <si>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</si>
  <si>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</si>
  <si>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</si>
  <si>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</si>
  <si>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</si>
  <si>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</si>
  <si>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</si>
  <si>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</si>
  <si>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</si>
  <si>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</si>
  <si>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</si>
  <si>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</si>
  <si>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</si>
  <si>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</si>
  <si>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</si>
  <si>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</si>
  <si>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</si>
  <si>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</si>
  <si>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</si>
  <si>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</si>
  <si>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</si>
  <si>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</si>
  <si>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</si>
  <si>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</si>
  <si>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</si>
  <si>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</si>
  <si>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</si>
  <si>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</si>
  <si>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</si>
  <si>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</si>
  <si>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</si>
  <si>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</si>
  <si>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</si>
  <si>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</si>
  <si>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</si>
  <si>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</si>
  <si>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</si>
  <si>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</si>
  <si>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</si>
  <si>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</si>
  <si>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</si>
  <si>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</si>
  <si>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</si>
  <si>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</si>
  <si>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</si>
  <si>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</si>
  <si>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</si>
  <si>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</si>
  <si>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</si>
  <si>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</si>
  <si>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</si>
  <si>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</si>
  <si>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</si>
  <si>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</si>
  <si>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</si>
  <si>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</si>
  <si>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</si>
  <si>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</si>
  <si>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</si>
  <si>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</si>
  <si>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</si>
  <si>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</si>
  <si>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</si>
  <si>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</si>
  <si>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</si>
  <si>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</si>
  <si>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</si>
  <si>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</si>
  <si>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</si>
  <si>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</si>
  <si>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</si>
  <si>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</si>
  <si>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</si>
  <si>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</si>
  <si>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</si>
  <si>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</si>
  <si>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</si>
  <si>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</si>
  <si>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</si>
  <si>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</si>
  <si>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</si>
  <si>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</si>
  <si>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</si>
  <si>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</si>
  <si>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</si>
  <si>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</si>
  <si>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</si>
  <si>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</si>
  <si>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</si>
  <si>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</si>
  <si>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</si>
  <si>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</si>
  <si>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</si>
  <si>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</si>
  <si>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</si>
  <si>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</si>
  <si>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</si>
  <si>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</si>
  <si>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</si>
  <si>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</si>
  <si>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</si>
  <si>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</si>
  <si>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</si>
  <si>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</si>
  <si>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</si>
  <si>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</si>
  <si>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</si>
  <si>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</si>
  <si>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</si>
  <si>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</si>
  <si>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</si>
  <si>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</si>
  <si>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</si>
  <si>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</si>
  <si>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</si>
  <si>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</si>
  <si>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</si>
  <si>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</si>
  <si>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</si>
  <si>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</si>
  <si>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</si>
  <si>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</si>
  <si>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</si>
  <si>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</si>
  <si>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</si>
  <si>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</si>
  <si>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</si>
  <si>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</si>
  <si>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</si>
  <si>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</si>
  <si>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</si>
  <si>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</si>
  <si>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</si>
  <si>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</si>
  <si>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</si>
  <si>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</si>
  <si>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</si>
  <si>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</si>
  <si>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</si>
  <si>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</si>
  <si>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</si>
  <si>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</si>
  <si>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</si>
  <si>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</si>
  <si>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</si>
  <si>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</si>
  <si>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</si>
  <si>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</si>
  <si>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</si>
  <si>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</si>
  <si>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</si>
  <si>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</si>
  <si>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</si>
  <si>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</si>
  <si>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</si>
  <si>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</si>
  <si>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</si>
  <si>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</si>
  <si>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</si>
  <si>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</si>
  <si>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</si>
  <si>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</si>
  <si>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</si>
  <si>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</si>
  <si>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</si>
  <si>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</si>
  <si>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</si>
  <si>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</si>
  <si>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</si>
  <si>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</si>
  <si>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</si>
  <si>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</si>
  <si>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</si>
  <si>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</si>
  <si>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</si>
  <si>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</si>
  <si>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</si>
  <si>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</si>
  <si>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</si>
  <si>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</si>
  <si>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</si>
  <si>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</si>
  <si>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</si>
  <si>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</si>
  <si>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</si>
  <si>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</si>
  <si>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</si>
  <si>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</si>
  <si>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</si>
  <si>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</si>
  <si>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</si>
  <si>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</si>
  <si>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</si>
  <si>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</si>
  <si>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</si>
  <si>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</si>
  <si>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</si>
  <si>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</si>
  <si>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</si>
  <si>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</si>
  <si>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</si>
  <si>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</si>
  <si>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</si>
  <si>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</si>
  <si>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</si>
  <si>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</si>
  <si>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</si>
  <si>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</si>
  <si>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</si>
  <si>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</si>
  <si>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</si>
  <si>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</si>
  <si>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</si>
  <si>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</si>
  <si>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</si>
  <si>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</si>
  <si>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</si>
  <si>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</si>
  <si>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</si>
  <si>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</si>
  <si>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</si>
  <si>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</si>
  <si>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</si>
  <si>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</si>
  <si>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</si>
  <si>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</si>
  <si>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</si>
  <si>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</si>
  <si>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</si>
  <si>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</si>
  <si>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</si>
  <si>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</si>
  <si>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</si>
  <si>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</si>
  <si>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</si>
  <si>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</si>
  <si>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</si>
  <si>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</si>
  <si>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</si>
  <si>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</si>
  <si>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</si>
  <si>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</si>
  <si>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</si>
  <si>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</si>
  <si>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</si>
  <si>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</si>
  <si>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</si>
  <si>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</si>
  <si>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</si>
  <si>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</si>
  <si>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</si>
  <si>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</si>
  <si>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</si>
  <si>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</si>
  <si>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</si>
  <si>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</si>
  <si>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</si>
  <si>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</si>
  <si>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</si>
  <si>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</si>
  <si>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</si>
  <si>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</si>
  <si>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</si>
  <si>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</si>
  <si>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</si>
  <si>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</si>
  <si>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</si>
  <si>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</si>
  <si>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</si>
  <si>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</si>
  <si>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</si>
  <si>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</si>
  <si>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</si>
  <si>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</si>
  <si>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</si>
  <si>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</si>
  <si>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</si>
  <si>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</si>
  <si>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</si>
  <si>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</si>
  <si>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</si>
  <si>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</si>
  <si>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</si>
  <si>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</si>
  <si>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</si>
  <si>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</si>
  <si>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</si>
  <si>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</si>
  <si>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</si>
  <si>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</si>
  <si>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</si>
  <si>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</si>
  <si>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</si>
  <si>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</si>
  <si>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</si>
  <si>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</si>
  <si>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</si>
  <si>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</si>
  <si>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</si>
  <si>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</si>
  <si>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</si>
  <si>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</si>
  <si>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</si>
  <si>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</si>
  <si>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</si>
  <si>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</si>
  <si>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</si>
  <si>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</si>
  <si>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</si>
  <si>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</si>
  <si>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</si>
  <si>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</si>
  <si>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</si>
  <si>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</si>
  <si>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</si>
  <si>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</si>
  <si>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</si>
  <si>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</si>
  <si>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</si>
  <si>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</si>
  <si>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</si>
  <si>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</si>
  <si>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</si>
  <si>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</si>
  <si>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</si>
  <si>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</si>
  <si>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</si>
  <si>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</si>
  <si>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</si>
  <si>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</si>
  <si>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</si>
  <si>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</si>
  <si>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</si>
  <si>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</si>
  <si>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</si>
  <si>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</si>
  <si>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</si>
  <si>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</si>
  <si>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</si>
  <si>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</si>
  <si>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</si>
  <si>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</si>
  <si>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</si>
  <si>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</si>
  <si>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</si>
  <si>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</si>
  <si>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</si>
  <si>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</si>
  <si>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</si>
  <si>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</si>
  <si>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</si>
  <si>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</si>
  <si>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</si>
  <si>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</si>
  <si>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</si>
  <si>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</si>
  <si>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</si>
  <si>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</si>
  <si>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</si>
  <si>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</si>
  <si>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</si>
  <si>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</si>
  <si>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</si>
  <si>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</si>
  <si>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</si>
  <si>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</si>
  <si>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</si>
  <si>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</si>
  <si>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</si>
  <si>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</si>
  <si>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</si>
  <si>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</si>
  <si>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</si>
  <si>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</si>
  <si>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</si>
  <si>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</si>
  <si>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</si>
  <si>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</si>
  <si>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</si>
  <si>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</si>
  <si>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</si>
  <si>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</si>
  <si>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</si>
  <si>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</si>
  <si>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</si>
  <si>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</si>
  <si>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</si>
  <si>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</si>
  <si>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</si>
  <si>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</si>
  <si>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</si>
  <si>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</si>
  <si>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</si>
  <si>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</si>
  <si>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</si>
  <si>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</si>
  <si>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</si>
  <si>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</si>
  <si>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</si>
  <si>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</si>
  <si>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</si>
  <si>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</si>
  <si>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</si>
  <si>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</si>
  <si>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</si>
  <si>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</si>
  <si>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</si>
  <si>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</si>
  <si>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</si>
  <si>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</si>
  <si>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</si>
  <si>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</si>
  <si>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</si>
  <si>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</si>
  <si>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</si>
  <si>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</si>
  <si>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</si>
  <si>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</si>
  <si>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</si>
  <si>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</si>
  <si>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</si>
  <si>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</si>
  <si>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</si>
  <si>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</si>
  <si>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</si>
  <si>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</si>
  <si>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</si>
  <si>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</si>
  <si>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</si>
  <si>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</si>
  <si>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</si>
  <si>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</si>
  <si>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</si>
  <si>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</si>
  <si>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</si>
  <si>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</si>
  <si>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</si>
  <si>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</si>
  <si>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</si>
  <si>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</si>
  <si>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</si>
  <si>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</si>
  <si>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</si>
  <si>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</si>
  <si>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</si>
  <si>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</si>
  <si>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</si>
  <si>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</si>
  <si>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</si>
  <si>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</si>
  <si>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</si>
  <si>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</si>
  <si>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</si>
  <si>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</si>
  <si>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</si>
  <si>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</si>
  <si>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</si>
  <si>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</si>
  <si>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</si>
  <si>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</si>
  <si>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</si>
  <si>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</si>
  <si>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</si>
  <si>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</si>
  <si>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</si>
  <si>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</si>
  <si>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</si>
  <si>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</si>
  <si>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</si>
  <si>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</si>
  <si>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</si>
  <si>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</si>
  <si>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</si>
  <si>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</si>
  <si>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</si>
  <si>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</si>
  <si>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</si>
  <si>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</si>
  <si>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</si>
  <si>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</si>
  <si>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</si>
  <si>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</si>
  <si>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</si>
  <si>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</si>
  <si>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</si>
  <si>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73109</t>
  </si>
  <si>
    <t>VOEREN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</si>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</sst>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49682.022277383105</c:v>
                </c:pt>
                <c:pt idx="1">
                  <c:v>4476.8234269021705</c:v>
                </c:pt>
                <c:pt idx="2">
                  <c:v>313.87</c:v>
                </c:pt>
                <c:pt idx="3">
                  <c:v>12074.149045349388</c:v>
                </c:pt>
                <c:pt idx="4">
                  <c:v>1097.8556853829632</c:v>
                </c:pt>
                <c:pt idx="5">
                  <c:v>32229.731795634976</c:v>
                </c:pt>
                <c:pt idx="6">
                  <c:v>1110.7022291187454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49682.022277383105</c:v>
                </c:pt>
                <c:pt idx="1">
                  <c:v>4476.8234269021705</c:v>
                </c:pt>
                <c:pt idx="2">
                  <c:v>313.87</c:v>
                </c:pt>
                <c:pt idx="3">
                  <c:v>12074.149045349388</c:v>
                </c:pt>
                <c:pt idx="4">
                  <c:v>1097.8556853829632</c:v>
                </c:pt>
                <c:pt idx="5">
                  <c:v>32229.731795634976</c:v>
                </c:pt>
                <c:pt idx="6">
                  <c:v>1110.7022291187454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10953.41277860588</c:v>
                </c:pt>
                <c:pt idx="1">
                  <c:v>906.3301432461559</c:v>
                </c:pt>
                <c:pt idx="2">
                  <c:v>61.16913000953182</c:v>
                </c:pt>
                <c:pt idx="3">
                  <c:v>3072.1000111136887</c:v>
                </c:pt>
                <c:pt idx="4">
                  <c:v>209.24545638556233</c:v>
                </c:pt>
                <c:pt idx="5">
                  <c:v>8228.1339687289674</c:v>
                </c:pt>
                <c:pt idx="6">
                  <c:v>287.63567987827196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30240"/>
      </c:barChart>
      <c:catAx>
        <c:axId val="183364608"/>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10953.41277860588</c:v>
                </c:pt>
                <c:pt idx="1">
                  <c:v>906.3301432461559</c:v>
                </c:pt>
                <c:pt idx="2">
                  <c:v>61.16913000953182</c:v>
                </c:pt>
                <c:pt idx="3">
                  <c:v>3072.1000111136887</c:v>
                </c:pt>
                <c:pt idx="4">
                  <c:v>209.24545638556233</c:v>
                </c:pt>
                <c:pt idx="5">
                  <c:v>8228.1339687289674</c:v>
                </c:pt>
                <c:pt idx="6">
                  <c:v>287.63567987827196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1689</v>
      </c>
      <c r="C9" s="342">
        <v>1585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3335.28</v>
      </c>
    </row>
    <row r="15" spans="1:6">
      <c r="A15" s="348" t="s">
        <v>184</v>
      </c>
      <c r="B15" s="334">
        <v>60</v>
      </c>
    </row>
    <row r="16" spans="1:6">
      <c r="A16" s="348" t="s">
        <v>6</v>
      </c>
      <c r="B16" s="334">
        <v>2284</v>
      </c>
    </row>
    <row r="17" spans="1:6">
      <c r="A17" s="348" t="s">
        <v>7</v>
      </c>
      <c r="B17" s="334">
        <v>334</v>
      </c>
    </row>
    <row r="18" spans="1:6">
      <c r="A18" s="348" t="s">
        <v>8</v>
      </c>
      <c r="B18" s="334">
        <v>1117</v>
      </c>
    </row>
    <row r="19" spans="1:6">
      <c r="A19" s="348" t="s">
        <v>9</v>
      </c>
      <c r="B19" s="334">
        <v>852</v>
      </c>
    </row>
    <row r="20" spans="1:6">
      <c r="A20" s="348" t="s">
        <v>10</v>
      </c>
      <c r="B20" s="334">
        <v>751</v>
      </c>
    </row>
    <row r="21" spans="1:6">
      <c r="A21" s="348" t="s">
        <v>11</v>
      </c>
      <c r="B21" s="334">
        <v>1178</v>
      </c>
    </row>
    <row r="22" spans="1:6">
      <c r="A22" s="348" t="s">
        <v>12</v>
      </c>
      <c r="B22" s="334">
        <v>3407</v>
      </c>
    </row>
    <row r="23" spans="1:6">
      <c r="A23" s="348" t="s">
        <v>13</v>
      </c>
      <c r="B23" s="334">
        <v>51</v>
      </c>
    </row>
    <row r="24" spans="1:6">
      <c r="A24" s="348" t="s">
        <v>14</v>
      </c>
      <c r="B24" s="334">
        <v>11</v>
      </c>
    </row>
    <row r="25" spans="1:6">
      <c r="A25" s="348" t="s">
        <v>15</v>
      </c>
      <c r="B25" s="334">
        <v>405</v>
      </c>
    </row>
    <row r="26" spans="1:6">
      <c r="A26" s="348" t="s">
        <v>16</v>
      </c>
      <c r="B26" s="334">
        <v>108</v>
      </c>
    </row>
    <row r="27" spans="1:6">
      <c r="A27" s="348" t="s">
        <v>17</v>
      </c>
      <c r="B27" s="334">
        <v>2</v>
      </c>
    </row>
    <row r="28" spans="1:6" s="356" customFormat="1">
      <c r="A28" s="355" t="s">
        <v>18</v>
      </c>
      <c r="B28" s="355">
        <v>42177</v>
      </c>
    </row>
    <row r="29" spans="1:6">
      <c r="A29" s="355" t="s">
        <v>812</v>
      </c>
      <c r="B29" s="355">
        <v>79</v>
      </c>
      <c r="C29" s="356"/>
      <c r="D29" s="356"/>
      <c r="E29" s="356"/>
      <c r="F29" s="356"/>
    </row>
    <row r="30" spans="1:6">
      <c r="A30" s="355" t="s">
        <v>813</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77340</v>
      </c>
    </row>
    <row r="37" spans="1:6">
      <c r="A37" s="348" t="s">
        <v>25</v>
      </c>
      <c r="B37" s="348" t="s">
        <v>28</v>
      </c>
      <c r="C37" s="334">
        <v>0</v>
      </c>
      <c r="D37" s="334">
        <v>0</v>
      </c>
      <c r="E37" s="334">
        <v>0</v>
      </c>
      <c r="F37" s="334">
        <v>0</v>
      </c>
    </row>
    <row r="38" spans="1:6">
      <c r="A38" s="348" t="s">
        <v>25</v>
      </c>
      <c r="B38" s="348" t="s">
        <v>29</v>
      </c>
      <c r="C38" s="334">
        <v>0</v>
      </c>
      <c r="D38" s="334">
        <v>0</v>
      </c>
      <c r="E38" s="334">
        <v>1</v>
      </c>
      <c r="F38" s="334">
        <v>21925</v>
      </c>
    </row>
    <row r="39" spans="1:6">
      <c r="A39" s="348" t="s">
        <v>30</v>
      </c>
      <c r="B39" s="348" t="s">
        <v>31</v>
      </c>
      <c r="C39" s="334">
        <v>0</v>
      </c>
      <c r="D39" s="334">
        <v>0</v>
      </c>
      <c r="E39" s="334">
        <v>1735</v>
      </c>
      <c r="F39" s="334">
        <v>8324950.6969999997</v>
      </c>
    </row>
    <row r="40" spans="1:6">
      <c r="A40" s="348" t="s">
        <v>30</v>
      </c>
      <c r="B40" s="348" t="s">
        <v>29</v>
      </c>
      <c r="C40" s="334">
        <v>0</v>
      </c>
      <c r="D40" s="334">
        <v>0</v>
      </c>
      <c r="E40" s="334">
        <v>0</v>
      </c>
      <c r="F40" s="334">
        <v>0</v>
      </c>
    </row>
    <row r="41" spans="1:6">
      <c r="A41" s="348" t="s">
        <v>32</v>
      </c>
      <c r="B41" s="348" t="s">
        <v>33</v>
      </c>
      <c r="C41" s="334">
        <v>0</v>
      </c>
      <c r="D41" s="334">
        <v>0</v>
      </c>
      <c r="E41" s="334">
        <v>13</v>
      </c>
      <c r="F41" s="334">
        <v>243975.2151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30</v>
      </c>
      <c r="F48" s="334">
        <v>341013.22149999999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68</v>
      </c>
      <c r="F51" s="334">
        <v>1606129.2390000001</v>
      </c>
    </row>
    <row r="52" spans="1:6">
      <c r="A52" s="348" t="s">
        <v>42</v>
      </c>
      <c r="B52" s="348" t="s">
        <v>29</v>
      </c>
      <c r="C52" s="334">
        <v>0</v>
      </c>
      <c r="D52" s="334">
        <v>0</v>
      </c>
      <c r="E52" s="334">
        <v>18</v>
      </c>
      <c r="F52" s="334">
        <v>896316.28559999994</v>
      </c>
    </row>
    <row r="53" spans="1:6">
      <c r="A53" s="348" t="s">
        <v>44</v>
      </c>
      <c r="B53" s="348" t="s">
        <v>45</v>
      </c>
      <c r="C53" s="334">
        <v>0</v>
      </c>
      <c r="D53" s="334">
        <v>0</v>
      </c>
      <c r="E53" s="334">
        <v>91</v>
      </c>
      <c r="F53" s="334">
        <v>297661.95649999997</v>
      </c>
    </row>
    <row r="54" spans="1:6">
      <c r="A54" s="348" t="s">
        <v>46</v>
      </c>
      <c r="B54" s="348" t="s">
        <v>47</v>
      </c>
      <c r="C54" s="334">
        <v>0</v>
      </c>
      <c r="D54" s="334">
        <v>0</v>
      </c>
      <c r="E54" s="334">
        <v>1</v>
      </c>
      <c r="F54" s="334">
        <v>313870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69034.192139999999</v>
      </c>
    </row>
    <row r="58" spans="1:6">
      <c r="A58" s="348" t="s">
        <v>49</v>
      </c>
      <c r="B58" s="348" t="s">
        <v>51</v>
      </c>
      <c r="C58" s="334">
        <v>0</v>
      </c>
      <c r="D58" s="334">
        <v>0</v>
      </c>
      <c r="E58" s="334">
        <v>0</v>
      </c>
      <c r="F58" s="334">
        <v>0</v>
      </c>
    </row>
    <row r="59" spans="1:6">
      <c r="A59" s="348" t="s">
        <v>49</v>
      </c>
      <c r="B59" s="348" t="s">
        <v>52</v>
      </c>
      <c r="C59" s="334">
        <v>0</v>
      </c>
      <c r="D59" s="334">
        <v>0</v>
      </c>
      <c r="E59" s="334">
        <v>7</v>
      </c>
      <c r="F59" s="334">
        <v>32900.49568</v>
      </c>
    </row>
    <row r="60" spans="1:6">
      <c r="A60" s="348" t="s">
        <v>49</v>
      </c>
      <c r="B60" s="348" t="s">
        <v>53</v>
      </c>
      <c r="C60" s="334">
        <v>0</v>
      </c>
      <c r="D60" s="334">
        <v>0</v>
      </c>
      <c r="E60" s="334">
        <v>32</v>
      </c>
      <c r="F60" s="334">
        <v>1263809.1880000001</v>
      </c>
    </row>
    <row r="61" spans="1:6">
      <c r="A61" s="348" t="s">
        <v>49</v>
      </c>
      <c r="B61" s="348" t="s">
        <v>54</v>
      </c>
      <c r="C61" s="334">
        <v>0</v>
      </c>
      <c r="D61" s="334">
        <v>0</v>
      </c>
      <c r="E61" s="334">
        <v>17</v>
      </c>
      <c r="F61" s="334">
        <v>157147.5753</v>
      </c>
    </row>
    <row r="62" spans="1:6">
      <c r="A62" s="348" t="s">
        <v>49</v>
      </c>
      <c r="B62" s="348" t="s">
        <v>55</v>
      </c>
      <c r="C62" s="334">
        <v>0</v>
      </c>
      <c r="D62" s="334">
        <v>0</v>
      </c>
      <c r="E62" s="334">
        <v>0</v>
      </c>
      <c r="F62" s="334">
        <v>0</v>
      </c>
    </row>
    <row r="63" spans="1:6">
      <c r="A63" s="348" t="s">
        <v>49</v>
      </c>
      <c r="B63" s="348" t="s">
        <v>29</v>
      </c>
      <c r="C63" s="334">
        <v>0</v>
      </c>
      <c r="D63" s="334">
        <v>0</v>
      </c>
      <c r="E63" s="334">
        <v>88</v>
      </c>
      <c r="F63" s="334">
        <v>1635330.3740000001</v>
      </c>
    </row>
    <row r="64" spans="1:6">
      <c r="A64" s="348" t="s">
        <v>56</v>
      </c>
      <c r="B64" s="348" t="s">
        <v>57</v>
      </c>
      <c r="C64" s="334">
        <v>0</v>
      </c>
      <c r="D64" s="334">
        <v>0</v>
      </c>
      <c r="E64" s="334">
        <v>0</v>
      </c>
      <c r="F64" s="334">
        <v>0</v>
      </c>
    </row>
    <row r="65" spans="1:6">
      <c r="A65" s="348" t="s">
        <v>56</v>
      </c>
      <c r="B65" s="348" t="s">
        <v>29</v>
      </c>
      <c r="C65" s="334">
        <v>0</v>
      </c>
      <c r="D65" s="334">
        <v>0</v>
      </c>
      <c r="E65" s="334">
        <v>7</v>
      </c>
      <c r="F65" s="334">
        <v>21057.234530000002</v>
      </c>
    </row>
    <row r="66" spans="1:6">
      <c r="A66" s="348" t="s">
        <v>56</v>
      </c>
      <c r="B66" s="348" t="s">
        <v>58</v>
      </c>
      <c r="C66" s="334">
        <v>0</v>
      </c>
      <c r="D66" s="334">
        <v>0</v>
      </c>
      <c r="E66" s="334">
        <v>6</v>
      </c>
      <c r="F66" s="334">
        <v>272540.14539999998</v>
      </c>
    </row>
    <row r="67" spans="1:6">
      <c r="A67" s="355" t="s">
        <v>56</v>
      </c>
      <c r="B67" s="355" t="s">
        <v>59</v>
      </c>
      <c r="C67" s="334">
        <v>0</v>
      </c>
      <c r="D67" s="334">
        <v>0</v>
      </c>
      <c r="E67" s="334">
        <v>0</v>
      </c>
      <c r="F67" s="334">
        <v>0</v>
      </c>
    </row>
    <row r="68" spans="1:6">
      <c r="A68" s="341" t="s">
        <v>56</v>
      </c>
      <c r="B68" s="341" t="s">
        <v>60</v>
      </c>
      <c r="C68" s="334">
        <v>0</v>
      </c>
      <c r="D68" s="334">
        <v>0</v>
      </c>
      <c r="E68" s="334">
        <v>3</v>
      </c>
      <c r="F68" s="334">
        <v>16149.676030000001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18303461</v>
      </c>
      <c r="E73" s="476">
        <v>18810648.071407847</v>
      </c>
    </row>
    <row r="74" spans="1:6">
      <c r="A74" s="348" t="s">
        <v>64</v>
      </c>
      <c r="B74" s="348" t="s">
        <v>667</v>
      </c>
      <c r="C74" s="1212" t="s">
        <v>669</v>
      </c>
      <c r="D74" s="476">
        <v>1187116.261779926</v>
      </c>
      <c r="E74" s="476">
        <v>1221824.1226634518</v>
      </c>
    </row>
    <row r="75" spans="1:6">
      <c r="A75" s="348" t="s">
        <v>65</v>
      </c>
      <c r="B75" s="348" t="s">
        <v>666</v>
      </c>
      <c r="C75" s="1212" t="s">
        <v>670</v>
      </c>
      <c r="D75" s="476">
        <v>17003708</v>
      </c>
      <c r="E75" s="476">
        <v>17474866.094629489</v>
      </c>
    </row>
    <row r="76" spans="1:6">
      <c r="A76" s="348" t="s">
        <v>65</v>
      </c>
      <c r="B76" s="348" t="s">
        <v>667</v>
      </c>
      <c r="C76" s="1212" t="s">
        <v>671</v>
      </c>
      <c r="D76" s="476">
        <v>11901.300000000001</v>
      </c>
      <c r="E76" s="476">
        <v>12218.586295946327</v>
      </c>
    </row>
    <row r="77" spans="1:6">
      <c r="A77" s="348" t="s">
        <v>66</v>
      </c>
      <c r="B77" s="348" t="s">
        <v>666</v>
      </c>
      <c r="C77" s="1212" t="s">
        <v>672</v>
      </c>
      <c r="D77" s="476">
        <v>1752623</v>
      </c>
      <c r="E77" s="476">
        <v>1804650.8531894917</v>
      </c>
    </row>
    <row r="78" spans="1:6">
      <c r="A78" s="341" t="s">
        <v>66</v>
      </c>
      <c r="B78" s="341" t="s">
        <v>667</v>
      </c>
      <c r="C78" s="341" t="s">
        <v>673</v>
      </c>
      <c r="D78" s="1213">
        <v>594772</v>
      </c>
      <c r="E78" s="1213">
        <v>588829.47909898637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298319.47644014814</v>
      </c>
      <c r="C83" s="476">
        <v>298319.47644014814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1287.640291094609</v>
      </c>
    </row>
    <row r="92" spans="1:6">
      <c r="A92" s="341" t="s">
        <v>69</v>
      </c>
      <c r="B92" s="342">
        <v>624.26910836811214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0</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16180.801189767606</v>
      </c>
      <c r="C3" s="43" t="s">
        <v>170</v>
      </c>
      <c r="D3" s="43"/>
      <c r="E3" s="154"/>
      <c r="F3" s="43"/>
      <c r="G3" s="43"/>
      <c r="H3" s="43"/>
      <c r="I3" s="43"/>
      <c r="J3" s="43"/>
      <c r="K3" s="96"/>
    </row>
    <row r="4" spans="1:11">
      <c r="A4" s="383" t="s">
        <v>171</v>
      </c>
      <c r="B4" s="49">
        <f>IF(ISERROR('SEAP template'!B69),0,'SEAP template'!B69)</f>
        <v>1911.909399462721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0.19488683215831976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313.87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313.87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0.19488683215831976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61.16913000953182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8324.9506970000002</v>
      </c>
      <c r="C5" s="17">
        <f>IF(ISERROR('Eigen informatie GS &amp; warmtenet'!B57),0,'Eigen informatie GS &amp; warmtenet'!B57)</f>
        <v>0</v>
      </c>
      <c r="D5" s="30">
        <f>(SUM(HH_hh_gas_kWh,HH_rest_gas_kWh)/1000)*0.902</f>
        <v>0</v>
      </c>
      <c r="E5" s="17">
        <f>B46*B57</f>
        <v>3268.3221092181125</v>
      </c>
      <c r="F5" s="17">
        <f>B51*B62</f>
        <v>29139.992718888196</v>
      </c>
      <c r="G5" s="18"/>
      <c r="H5" s="17"/>
      <c r="I5" s="17"/>
      <c r="J5" s="17">
        <f>B50*B61+C50*C61</f>
        <v>1575.5881281549382</v>
      </c>
      <c r="K5" s="17"/>
      <c r="L5" s="17"/>
      <c r="M5" s="17"/>
      <c r="N5" s="17">
        <f>B48*B59+C48*C59</f>
        <v>5622.9016663605798</v>
      </c>
      <c r="O5" s="17">
        <f>B69*B70*B71</f>
        <v>81.293333333333337</v>
      </c>
      <c r="P5" s="17">
        <f>B77*B78*B79/1000-B77*B78*B79/1000/B80</f>
        <v>381.33333333333337</v>
      </c>
    </row>
    <row r="6" spans="1:16">
      <c r="A6" s="16" t="s">
        <v>624</v>
      </c>
      <c r="B6" s="843">
        <f>kWh_PV_kleiner_dan_10kW</f>
        <v>1287.640291094609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9612.5909880946092</v>
      </c>
      <c r="C8" s="21">
        <f>C5</f>
        <v>0</v>
      </c>
      <c r="D8" s="21">
        <f>D5</f>
        <v>0</v>
      </c>
      <c r="E8" s="21">
        <f>E5</f>
        <v>3268.3221092181125</v>
      </c>
      <c r="F8" s="21">
        <f>F5</f>
        <v>29139.992718888196</v>
      </c>
      <c r="G8" s="21"/>
      <c r="H8" s="21"/>
      <c r="I8" s="21"/>
      <c r="J8" s="21">
        <f>J5</f>
        <v>1575.5881281549382</v>
      </c>
      <c r="K8" s="21"/>
      <c r="L8" s="21">
        <f>L5</f>
        <v>0</v>
      </c>
      <c r="M8" s="21">
        <f>M5</f>
        <v>0</v>
      </c>
      <c r="N8" s="21">
        <f>N5</f>
        <v>5622.9016663605798</v>
      </c>
      <c r="O8" s="21">
        <f>O5</f>
        <v>81.293333333333337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0.19488683215831976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1873.3674065033711</v>
      </c>
      <c r="C12" s="23">
        <f ca="1">C10*C8</f>
        <v>0</v>
      </c>
      <c r="D12" s="23">
        <f>D8*D10</f>
        <v>0</v>
      </c>
      <c r="E12" s="23">
        <f>E10*E8</f>
        <v>741.90911879251155</v>
      </c>
      <c r="F12" s="23">
        <f>F10*F8</f>
        <v>7780.3780559431489</v>
      </c>
      <c r="G12" s="23"/>
      <c r="H12" s="23"/>
      <c r="I12" s="23"/>
      <c r="J12" s="23">
        <f>J10*J8</f>
        <v>557.75819736684809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1689</v>
      </c>
      <c r="C28" s="36"/>
      <c r="D28" s="228"/>
    </row>
    <row r="29" spans="1:7" s="15" customFormat="1">
      <c r="A29" s="230" t="s">
        <v>699</v>
      </c>
      <c r="B29" s="37">
        <f>SUM(HH_hh_gas_aantal,HH_rest_gas_aantal)</f>
        <v>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144.50165016501654</v>
      </c>
      <c r="C34" s="167">
        <f>IF(ISERROR(B34/SUM($B$32,$B$34,$B$35,$B$36,$B$38,$B$39)*100),0,B34/SUM($B$32,$B$34,$B$35,$B$36,$B$38,$B$39)*100)</f>
        <v>8.6579778409236994</v>
      </c>
      <c r="D34" s="233"/>
      <c r="G34" s="15"/>
    </row>
    <row r="35" spans="1:7">
      <c r="A35" s="171" t="s">
        <v>74</v>
      </c>
      <c r="B35" s="33">
        <f>IF((($B$28-$B$32-$B$39-$B$77-$B$38)*C21/100)&lt;0,0,($B$28-$B$32-$B$39-$B$77-$B$38)*C21/100)</f>
        <v>188.96369636963701</v>
      </c>
      <c r="C35" s="167">
        <f>IF(ISERROR(B35/SUM($B$32,$B$34,$B$35,$B$36,$B$38,$B$39)*100),0,B35/SUM($B$32,$B$34,$B$35,$B$36,$B$38,$B$39)*100)</f>
        <v>11.321971022746375</v>
      </c>
      <c r="D35" s="233"/>
      <c r="G35" s="15"/>
    </row>
    <row r="36" spans="1:7">
      <c r="A36" s="171" t="s">
        <v>75</v>
      </c>
      <c r="B36" s="33">
        <f>IF((($B$28-$B$32-$B$39-$B$77-$B$38)*C22/100)&lt;0,0,($B$28-$B$32-$B$39-$B$77-$B$38)*C22/100)</f>
        <v>87.534653465346565</v>
      </c>
      <c r="C36" s="167">
        <f>IF(ISERROR(B36/SUM($B$32,$B$34,$B$35,$B$36,$B$38,$B$39)*100),0,B36/SUM($B$32,$B$34,$B$35,$B$36,$B$38,$B$39)*100)</f>
        <v>5.2447365767133949</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3.0497303774715396</v>
      </c>
      <c r="D38" s="234"/>
      <c r="G38" s="15"/>
    </row>
    <row r="39" spans="1:7">
      <c r="A39" s="171" t="s">
        <v>78</v>
      </c>
      <c r="B39" s="33">
        <f>IF((B25-(B29-B18))&lt;0,0,B25-(B29-B18)*0.9)</f>
        <v>1197.0999999999999</v>
      </c>
      <c r="C39" s="167">
        <f>IF(ISERROR(B39/SUM($B$32,$B$34,$B$35,$B$36,$B$38,$B$39)*100),0,B39/SUM($B$32,$B$34,$B$35,$B$36,$B$38,$B$39)*100)</f>
        <v>71.725584182144999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144.50165016501654</v>
      </c>
      <c r="C46" s="34" t="s">
        <v>111</v>
      </c>
      <c r="D46" s="174"/>
    </row>
    <row r="47" spans="1:7">
      <c r="A47" s="171" t="s">
        <v>74</v>
      </c>
      <c r="B47" s="33">
        <f t="shared" si="0"/>
        <v>188.96369636963701</v>
      </c>
      <c r="C47" s="34" t="s">
        <v>111</v>
      </c>
      <c r="D47" s="174"/>
    </row>
    <row r="48" spans="1:7">
      <c r="A48" s="171" t="s">
        <v>75</v>
      </c>
      <c r="B48" s="33">
        <f t="shared" si="0"/>
        <v>87.534653465346565</v>
      </c>
      <c r="C48" s="33">
        <f>B48*10</f>
        <v>875.3465346534656</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3158.2218251200002</v>
      </c>
      <c r="C5" s="17">
        <f>IF(ISERROR('Eigen informatie GS &amp; warmtenet'!B58),0,'Eigen informatie GS &amp; warmtenet'!B58)</f>
        <v>0</v>
      </c>
      <c r="D5" s="30">
        <f>SUM(D6:D12)</f>
        <v>0</v>
      </c>
      <c r="E5" s="17">
        <f>SUM(E6:E12)</f>
        <v>73.816316285070741</v>
      </c>
      <c r="F5" s="17">
        <f>SUM(F6:F12)</f>
        <v>1026.5093359495918</v>
      </c>
      <c r="G5" s="18"/>
      <c r="H5" s="17"/>
      <c r="I5" s="17"/>
      <c r="J5" s="17">
        <f>SUM(J6:J12)</f>
        <v>0</v>
      </c>
      <c r="K5" s="17"/>
      <c r="L5" s="17"/>
      <c r="M5" s="17"/>
      <c r="N5" s="17">
        <f>SUM(N6:N12)</f>
        <v>199.20928288084113</v>
      </c>
      <c r="O5" s="17">
        <f>B38*B39*B40</f>
        <v>0</v>
      </c>
      <c r="P5" s="17">
        <f>B46*B47*B48/1000-B46*B47*B48/1000/B49</f>
        <v>19.066666666666666</v>
      </c>
      <c r="R5" s="32"/>
    </row>
    <row r="6" spans="1:18">
      <c r="A6" s="32" t="s">
        <v>54</v>
      </c>
      <c r="B6" s="37">
        <f>B26</f>
        <v>157.1475753</v>
      </c>
      <c r="C6" s="33"/>
      <c r="D6" s="37">
        <f>IF(ISERROR(TER_kantoor_gas_kWh/1000),0,TER_kantoor_gas_kWh/1000)*0.902</f>
        <v>0</v>
      </c>
      <c r="E6" s="33">
        <f>$C$26*'E Balans VL '!I12/100/3.6*1000000</f>
        <v>2.0572553384202177</v>
      </c>
      <c r="F6" s="33">
        <f>$C$26*('E Balans VL '!L12+'E Balans VL '!N12)/100/3.6*1000000</f>
        <v>40.07100779911756</v>
      </c>
      <c r="G6" s="34"/>
      <c r="H6" s="33"/>
      <c r="I6" s="33"/>
      <c r="J6" s="33">
        <f>$C$26*('E Balans VL '!D12+'E Balans VL '!E12)/100/3.6*1000000</f>
        <v>0</v>
      </c>
      <c r="K6" s="33"/>
      <c r="L6" s="33"/>
      <c r="M6" s="33"/>
      <c r="N6" s="33">
        <f>$C$26*'E Balans VL '!Y12/100/3.6*1000000</f>
        <v>0.15767676134255715</v>
      </c>
      <c r="O6" s="33"/>
      <c r="P6" s="33"/>
      <c r="R6" s="32"/>
    </row>
    <row r="7" spans="1:18">
      <c r="A7" s="32" t="s">
        <v>53</v>
      </c>
      <c r="B7" s="37">
        <f t="shared" ref="B7:B12" si="0">B27</f>
        <v>1263.8091880000002</v>
      </c>
      <c r="C7" s="33"/>
      <c r="D7" s="37">
        <f>IF(ISERROR(TER_horeca_gas_kWh/1000),0,TER_horeca_gas_kWh/1000)*0.902</f>
        <v>0</v>
      </c>
      <c r="E7" s="33">
        <f>$C$27*'E Balans VL '!I9/100/3.6*1000000</f>
        <v>41.824396629393604</v>
      </c>
      <c r="F7" s="33">
        <f>$C$27*('E Balans VL '!L9+'E Balans VL '!N9)/100/3.6*1000000</f>
        <v>543.43310733650662</v>
      </c>
      <c r="G7" s="34"/>
      <c r="H7" s="33"/>
      <c r="I7" s="33"/>
      <c r="J7" s="33">
        <f>$C$27*('E Balans VL '!D9+'E Balans VL '!E9)/100/3.6*1000000</f>
        <v>0</v>
      </c>
      <c r="K7" s="33"/>
      <c r="L7" s="33"/>
      <c r="M7" s="33"/>
      <c r="N7" s="33">
        <f>$C$27*'E Balans VL '!Y9/100/3.6*1000000</f>
        <v>0.30421722407503193</v>
      </c>
      <c r="O7" s="33"/>
      <c r="P7" s="33"/>
      <c r="R7" s="32"/>
    </row>
    <row r="8" spans="1:18">
      <c r="A8" s="6" t="s">
        <v>52</v>
      </c>
      <c r="B8" s="37">
        <f t="shared" si="0"/>
        <v>32.900495679999999</v>
      </c>
      <c r="C8" s="33"/>
      <c r="D8" s="37">
        <f>IF(ISERROR(TER_handel_gas_kWh/1000),0,TER_handel_gas_kWh/1000)*0.902</f>
        <v>0</v>
      </c>
      <c r="E8" s="33">
        <f>$C$28*'E Balans VL '!I13/100/3.6*1000000</f>
        <v>1.0383899141218191</v>
      </c>
      <c r="F8" s="33">
        <f>$C$28*('E Balans VL '!L13+'E Balans VL '!N13)/100/3.6*1000000</f>
        <v>6.4523665446081981</v>
      </c>
      <c r="G8" s="34"/>
      <c r="H8" s="33"/>
      <c r="I8" s="33"/>
      <c r="J8" s="33">
        <f>$C$28*('E Balans VL '!D13+'E Balans VL '!E13)/100/3.6*1000000</f>
        <v>0</v>
      </c>
      <c r="K8" s="33"/>
      <c r="L8" s="33"/>
      <c r="M8" s="33"/>
      <c r="N8" s="33">
        <f>$C$28*'E Balans VL '!Y13/100/3.6*1000000</f>
        <v>3.9046500819340302E-2</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69.034192140000002</v>
      </c>
      <c r="C10" s="33"/>
      <c r="D10" s="37">
        <f>IF(ISERROR(TER_ander_gas_kWh/1000),0,TER_ander_gas_kWh/1000)*0.902</f>
        <v>0</v>
      </c>
      <c r="E10" s="33">
        <f>$C$30*'E Balans VL '!I14/100/3.6*1000000</f>
        <v>0.1038111905121788</v>
      </c>
      <c r="F10" s="33">
        <f>$C$30*('E Balans VL '!L14+'E Balans VL '!N14)/100/3.6*1000000</f>
        <v>15.240524335150008</v>
      </c>
      <c r="G10" s="34"/>
      <c r="H10" s="33"/>
      <c r="I10" s="33"/>
      <c r="J10" s="33">
        <f>$C$30*('E Balans VL '!D14+'E Balans VL '!E14)/100/3.6*1000000</f>
        <v>0</v>
      </c>
      <c r="K10" s="33"/>
      <c r="L10" s="33"/>
      <c r="M10" s="33"/>
      <c r="N10" s="33">
        <f>$C$30*'E Balans VL '!Y14/100/3.6*1000000</f>
        <v>54.403589232285945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1635.3303740000001</v>
      </c>
      <c r="C12" s="33"/>
      <c r="D12" s="37">
        <f>IF(ISERROR(TER_rest_gas_kWh/1000),0,TER_rest_gas_kWh/1000)*0.902</f>
        <v>0</v>
      </c>
      <c r="E12" s="33">
        <f>$C$32*'E Balans VL '!I8/100/3.6*1000000</f>
        <v>28.792463212622916</v>
      </c>
      <c r="F12" s="33">
        <f>$C$32*('E Balans VL '!L8+'E Balans VL '!N8)/100/3.6*1000000</f>
        <v>421.31232993420934</v>
      </c>
      <c r="G12" s="34"/>
      <c r="H12" s="33"/>
      <c r="I12" s="33"/>
      <c r="J12" s="33">
        <f>$C$32*('E Balans VL '!D8+'E Balans VL '!E8)/100/3.6*1000000</f>
        <v>0</v>
      </c>
      <c r="K12" s="33"/>
      <c r="L12" s="33"/>
      <c r="M12" s="33"/>
      <c r="N12" s="33">
        <f>$C$32*'E Balans VL '!Y8/100/3.6*1000000</f>
        <v>144.30475316231826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3158.2218251200002</v>
      </c>
      <c r="C16" s="21">
        <f t="shared" ca="1" si="1"/>
        <v>0</v>
      </c>
      <c r="D16" s="21">
        <f t="shared" ca="1" si="1"/>
        <v>0</v>
      </c>
      <c r="E16" s="21">
        <f t="shared" si="1"/>
        <v>73.816316285070741</v>
      </c>
      <c r="F16" s="21">
        <f t="shared" ca="1" si="1"/>
        <v>1026.5093359495918</v>
      </c>
      <c r="G16" s="21">
        <f t="shared" si="1"/>
        <v>0</v>
      </c>
      <c r="H16" s="21">
        <f t="shared" si="1"/>
        <v>0</v>
      </c>
      <c r="I16" s="21">
        <f t="shared" si="1"/>
        <v>0</v>
      </c>
      <c r="J16" s="21">
        <f t="shared" si="1"/>
        <v>0</v>
      </c>
      <c r="K16" s="21">
        <f t="shared" si="1"/>
        <v>0</v>
      </c>
      <c r="L16" s="21">
        <f t="shared" ca="1" si="1"/>
        <v>0</v>
      </c>
      <c r="M16" s="21">
        <f t="shared" si="1"/>
        <v>0</v>
      </c>
      <c r="N16" s="21">
        <f t="shared" ca="1" si="1"/>
        <v>199.20928288084113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0.19488683215831976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615.49584675090375</v>
      </c>
      <c r="C20" s="23">
        <f t="shared" ref="C20:P20" ca="1" si="2">C16*C18</f>
        <v>0</v>
      </c>
      <c r="D20" s="23">
        <f t="shared" ca="1" si="2"/>
        <v>0</v>
      </c>
      <c r="E20" s="23">
        <f t="shared" si="2"/>
        <v>16.756303796711059</v>
      </c>
      <c r="F20" s="23">
        <f t="shared" ca="1" si="2"/>
        <v>274.07799269854104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157.1475753</v>
      </c>
      <c r="C26" s="39">
        <f>IF(ISERROR(B26*3.6/1000000/'E Balans VL '!Z12*100),0,B26*3.6/1000000/'E Balans VL '!Z12*100)</f>
        <v>3.3662231461233883E-3</v>
      </c>
      <c r="D26" s="237" t="s">
        <v>660</v>
      </c>
      <c r="F26" s="6"/>
    </row>
    <row r="27" spans="1:18">
      <c r="A27" s="231" t="s">
        <v>53</v>
      </c>
      <c r="B27" s="33">
        <f>IF(ISERROR(TER_horeca_ele_kWh/1000),0,TER_horeca_ele_kWh/1000)</f>
        <v>1263.8091880000002</v>
      </c>
      <c r="C27" s="39">
        <f>IF(ISERROR(B27*3.6/1000000/'E Balans VL '!Z9*100),0,B27*3.6/1000000/'E Balans VL '!Z9*100)</f>
        <v>0.10141629438110217</v>
      </c>
      <c r="D27" s="237" t="s">
        <v>660</v>
      </c>
      <c r="F27" s="6"/>
    </row>
    <row r="28" spans="1:18">
      <c r="A28" s="171" t="s">
        <v>52</v>
      </c>
      <c r="B28" s="33">
        <f>IF(ISERROR(TER_handel_ele_kWh/1000),0,TER_handel_ele_kWh/1000)</f>
        <v>32.900495679999999</v>
      </c>
      <c r="C28" s="39">
        <f>IF(ISERROR(B28*3.6/1000000/'E Balans VL '!Z13*100),0,B28*3.6/1000000/'E Balans VL '!Z13*100)</f>
        <v>9.7037591284379859E-4</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69.034192140000002</v>
      </c>
      <c r="C30" s="39">
        <f>IF(ISERROR(B30*3.6/1000000/'E Balans VL '!Z14*100),0,B30*3.6/1000000/'E Balans VL '!Z14*100)</f>
        <v>5.2144236186720131E-3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1635.3303740000001</v>
      </c>
      <c r="C32" s="39">
        <f>IF(ISERROR(B32*3.6/1000000/'E Balans VL '!Z8*100),0,B32*3.6/1000000/'E Balans VL '!Z8*100)</f>
        <v>1.3559165981577938E-2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584.9884366</v>
      </c>
      <c r="C5" s="17">
        <f>IF(ISERROR('Eigen informatie GS &amp; warmtenet'!B59),0,'Eigen informatie GS &amp; warmtenet'!B59)</f>
        <v>0</v>
      </c>
      <c r="D5" s="30">
        <f>SUM(D6:D15)</f>
        <v>0</v>
      </c>
      <c r="E5" s="17">
        <f>SUM(E6:E15)</f>
        <v>80.764727846347043</v>
      </c>
      <c r="F5" s="17">
        <f>SUM(F6:F15)</f>
        <v>284.36943676013755</v>
      </c>
      <c r="G5" s="18"/>
      <c r="H5" s="17"/>
      <c r="I5" s="17"/>
      <c r="J5" s="17">
        <f>SUM(J6:J15)</f>
        <v>2.7646335911377107</v>
      </c>
      <c r="K5" s="17"/>
      <c r="L5" s="17"/>
      <c r="M5" s="17"/>
      <c r="N5" s="17">
        <f>SUM(N6:N15)</f>
        <v>144.96845058534092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243.97521510000001</v>
      </c>
      <c r="C9" s="33"/>
      <c r="D9" s="37">
        <f>IF( ISERROR(IND_andere_gas_kWh/1000),0,IND_andere_gas_kWh/1000)*0.902</f>
        <v>0</v>
      </c>
      <c r="E9" s="33">
        <f>C31*'E Balans VL '!I19/100/3.6*1000000</f>
        <v>62.256954799666289</v>
      </c>
      <c r="F9" s="33">
        <f>C31*'E Balans VL '!L19/100/3.6*1000000+C31*'E Balans VL '!N19/100/3.6*1000000</f>
        <v>210.0443223110172</v>
      </c>
      <c r="G9" s="34"/>
      <c r="H9" s="33"/>
      <c r="I9" s="33"/>
      <c r="J9" s="40">
        <f>C31*'E Balans VL '!D19/100/3.6*1000000+C31*'E Balans VL '!E19/100/3.6*1000000</f>
        <v>0</v>
      </c>
      <c r="K9" s="33"/>
      <c r="L9" s="33"/>
      <c r="M9" s="33"/>
      <c r="N9" s="33">
        <f>C31*'E Balans VL '!Y19/100/3.6*1000000</f>
        <v>76.299405040272106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341.01322149999999</v>
      </c>
      <c r="C15" s="33"/>
      <c r="D15" s="37">
        <f>IF( ISERROR(IND_rest_gas_kWh/1000),0,IND_rest_gas_kWh/1000)*0.902</f>
        <v>0</v>
      </c>
      <c r="E15" s="33">
        <f>C37*'E Balans VL '!I15/100/3.6*1000000</f>
        <v>18.507773046680754</v>
      </c>
      <c r="F15" s="33">
        <f>C37*'E Balans VL '!L15/100/3.6*1000000+C37*'E Balans VL '!N15/100/3.6*1000000</f>
        <v>74.325114449120349</v>
      </c>
      <c r="G15" s="34"/>
      <c r="H15" s="33"/>
      <c r="I15" s="33"/>
      <c r="J15" s="40">
        <f>C37*'E Balans VL '!D15/100/3.6*1000000+C37*'E Balans VL '!E15/100/3.6*1000000</f>
        <v>2.7646335911377107</v>
      </c>
      <c r="K15" s="33"/>
      <c r="L15" s="33"/>
      <c r="M15" s="33"/>
      <c r="N15" s="33">
        <f>C37*'E Balans VL '!Y15/100/3.6*1000000</f>
        <v>68.669045545068826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584.9884366</v>
      </c>
      <c r="C18" s="21">
        <f>C5+C16</f>
        <v>0</v>
      </c>
      <c r="D18" s="21">
        <f>MAX((D5+D16),0)</f>
        <v>0</v>
      </c>
      <c r="E18" s="21">
        <f>MAX((E5+E16),0)</f>
        <v>80.764727846347043</v>
      </c>
      <c r="F18" s="21">
        <f>MAX((F5+F16),0)</f>
        <v>284.36943676013755</v>
      </c>
      <c r="G18" s="21"/>
      <c r="H18" s="21"/>
      <c r="I18" s="21"/>
      <c r="J18" s="21">
        <f>MAX((J5+J16),0)</f>
        <v>2.7646335911377107</v>
      </c>
      <c r="K18" s="21"/>
      <c r="L18" s="21">
        <f>MAX((L5+L16),0)</f>
        <v>0</v>
      </c>
      <c r="M18" s="21"/>
      <c r="N18" s="21">
        <f>MAX((N5+N16),0)</f>
        <v>144.96845058534092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0.19488683215831976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114.00654325822208</v>
      </c>
      <c r="C22" s="23">
        <f ca="1">C18*C20</f>
        <v>0</v>
      </c>
      <c r="D22" s="23">
        <f>D18*D20</f>
        <v>0</v>
      </c>
      <c r="E22" s="23">
        <f>E18*E20</f>
        <v>18.333593221120779</v>
      </c>
      <c r="F22" s="23">
        <f>F18*F20</f>
        <v>75.926639614956727</v>
      </c>
      <c r="G22" s="23"/>
      <c r="H22" s="23"/>
      <c r="I22" s="23"/>
      <c r="J22" s="23">
        <f>J18*J20</f>
        <v>0.97868029126274958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243.97521510000001</v>
      </c>
      <c r="C31" s="39">
        <f>IF(ISERROR(B31*3.6/1000000/'E Balans VL '!Z19*100),0,B31*3.6/1000000/'E Balans VL '!Z19*100)</f>
        <v>1.0269470789574025E-2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341.01322149999999</v>
      </c>
      <c r="C37" s="39">
        <f>IF(ISERROR(B37*3.6/1000000/'E Balans VL '!Z15*100),0,B37*3.6/1000000/'E Balans VL '!Z15*100)</f>
        <v>2.7531317835410444E-3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2502.4455246000002</v>
      </c>
      <c r="C5" s="17">
        <f>'Eigen informatie GS &amp; warmtenet'!B60</f>
        <v>0</v>
      </c>
      <c r="D5" s="30">
        <f>IF(ISERROR(SUM(LB_lb_gas_kWh,LB_rest_gas_kWh,onbekend_gas_kWh)/1000),0,SUM(LB_lb_gas_kWh,LB_rest_gas_kWh,onbekend_gas_kWh)/1000)*0.902</f>
        <v>0</v>
      </c>
      <c r="E5" s="17">
        <f>B17*'E Balans VL '!I25/3.6*1000000/100</f>
        <v>64.528461799478492</v>
      </c>
      <c r="F5" s="17">
        <f>B17*('E Balans VL '!L25/3.6*1000000+'E Balans VL '!N25/3.6*1000000)/100</f>
        <v>9146.9149600128694</v>
      </c>
      <c r="G5" s="18"/>
      <c r="H5" s="17"/>
      <c r="I5" s="17"/>
      <c r="J5" s="17">
        <f>('E Balans VL '!D25+'E Balans VL '!E25)/3.6*1000000*landbouw!B17/100</f>
        <v>360.26009893703997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2502.4455246000002</v>
      </c>
      <c r="C8" s="21">
        <f>C5+C6</f>
        <v>0</v>
      </c>
      <c r="D8" s="21">
        <f>MAX((D5+D6),0)</f>
        <v>0</v>
      </c>
      <c r="E8" s="21">
        <f>MAX((E5+E6),0)</f>
        <v>64.528461799478492</v>
      </c>
      <c r="F8" s="21">
        <f>MAX((F5+F6),0)</f>
        <v>9146.9149600128694</v>
      </c>
      <c r="G8" s="21"/>
      <c r="H8" s="21"/>
      <c r="I8" s="21"/>
      <c r="J8" s="21">
        <f>MAX((J5+J6),0)</f>
        <v>360.26009893703997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0.19488683215831976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487.69368093805866</v>
      </c>
      <c r="C12" s="23">
        <f ca="1">C8*C10</f>
        <v>0</v>
      </c>
      <c r="D12" s="23">
        <f>D8*D10</f>
        <v>0</v>
      </c>
      <c r="E12" s="23">
        <f>E8*E10</f>
        <v>14.647960828481619</v>
      </c>
      <c r="F12" s="23">
        <f>F8*F10</f>
        <v>2442.2262943234364</v>
      </c>
      <c r="G12" s="23"/>
      <c r="H12" s="23"/>
      <c r="I12" s="23"/>
      <c r="J12" s="23">
        <f>J8*J10</f>
        <v>127.53207502371214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0.35286139479607731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494.27221773963709</v>
      </c>
      <c r="C26" s="247">
        <f>B26*'GWP N2O_CH4'!B5</f>
        <v>10379.716572532379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119.0576875510088</v>
      </c>
      <c r="C27" s="247">
        <f>B27*'GWP N2O_CH4'!B5</f>
        <v>2500.2114385711848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5.0982101730690843</v>
      </c>
      <c r="C28" s="247">
        <f>B28*'GWP N2O_CH4'!B4</f>
        <v>1580.4451536514161</v>
      </c>
      <c r="D28" s="50"/>
    </row>
    <row r="29" spans="1:4">
      <c r="A29" s="41" t="s">
        <v>277</v>
      </c>
      <c r="B29" s="247">
        <f>B34*'ha_N2O bodem landbouw'!B4</f>
        <v>22.003111036494701</v>
      </c>
      <c r="C29" s="247">
        <f>B29*'GWP N2O_CH4'!B4</f>
        <v>6820.964421313357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4.9518956670467507E-3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3.1263895270789952E-5</v>
      </c>
      <c r="C5" s="463" t="s">
        <v>211</v>
      </c>
      <c r="D5" s="448">
        <f>SUM(D6:D11)</f>
        <v>8.4224680243166576E-5</v>
      </c>
      <c r="E5" s="448">
        <f>SUM(E6:E11)</f>
        <v>3.1950174892771095E-4</v>
      </c>
      <c r="F5" s="461" t="s">
        <v>211</v>
      </c>
      <c r="G5" s="448">
        <f>SUM(G6:G11)</f>
        <v>8.9666942629191074E-2</v>
      </c>
      <c r="H5" s="448">
        <f>SUM(H6:H11)</f>
        <v>2.2428013660659839E-2</v>
      </c>
      <c r="I5" s="463" t="s">
        <v>211</v>
      </c>
      <c r="J5" s="463" t="s">
        <v>211</v>
      </c>
      <c r="K5" s="463" t="s">
        <v>211</v>
      </c>
      <c r="L5" s="463" t="s">
        <v>211</v>
      </c>
      <c r="M5" s="448">
        <f>SUM(M6:M11)</f>
        <v>3.4970878499933382E-3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1.5440925512938343E-5</v>
      </c>
      <c r="C6" s="449"/>
      <c r="D6" s="962">
        <f>vkm_2011_GW_PW*SUMIFS(TableVerdeelsleutelVkm[CNG],TableVerdeelsleutelVkm[Voertuigtype],"Lichte voertuigen")*SUMIFS(TableECFTransport[EnergieConsumptieFactor (PJ per km)],TableECFTransport[Index],CONCATENATE($A6,"_CNG_CNG"))</f>
        <v>3.0681389465712352E-5</v>
      </c>
      <c r="E6" s="962">
        <f>vkm_2011_GW_PW*SUMIFS(TableVerdeelsleutelVkm[LPG],TableVerdeelsleutelVkm[Voertuigtype],"Lichte voertuigen")*SUMIFS(TableECFTransport[EnergieConsumptieFactor (PJ per km)],TableECFTransport[Index],CONCATENATE($A6,"_LPG_LPG"))</f>
        <v>1.2074226600120835E-4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2.8708367946360808E-2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8.3063751575641782E-3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1.1534135750318334E-3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1.1375182694995824E-2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3.6746698844382216E-6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3.5841460182453215E-4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1.4344444947966608E-5</v>
      </c>
      <c r="C8" s="449"/>
      <c r="D8" s="451">
        <f>vkm_2011_NGW_PW*SUMIFS(TableVerdeelsleutelVkm[CNG],TableVerdeelsleutelVkm[Voertuigtype],"Lichte voertuigen")*SUMIFS(TableECFTransport[EnergieConsumptieFactor (PJ per km)],TableECFTransport[Index],CONCATENATE($A8,"_CNG_CNG"))</f>
        <v>5.0467819344638194E-5</v>
      </c>
      <c r="E8" s="451">
        <f>vkm_2011_NGW_PW*SUMIFS(TableVerdeelsleutelVkm[LPG],TableVerdeelsleutelVkm[Voertuigtype],"Lichte voertuigen")*SUMIFS(TableECFTransport[EnergieConsumptieFactor (PJ per km)],TableECFTransport[Index],CONCATENATE($A8,"_LPG_LPG"))</f>
        <v>1.8367820123443954E-4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4.078172405626939E-2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1.3248541594955482E-2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1.6819410865698441E-3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1.4556173912746252E-4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4.4470345536761087E-8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4.5863511272536534E-6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1.4785248098850016E-6</v>
      </c>
      <c r="C10" s="449"/>
      <c r="D10" s="451">
        <f>vkm_2011_SW_PW*SUMIFS(TableVerdeelsleutelVkm[CNG],TableVerdeelsleutelVkm[Voertuigtype],"Lichte voertuigen")*SUMIFS(TableECFTransport[EnergieConsumptieFactor (PJ per km)],TableECFTransport[Index],CONCATENATE($A10,"_CNG_CNG"))</f>
        <v>3.075471432816027E-6</v>
      </c>
      <c r="E10" s="451">
        <f>vkm_2011_SW_PW*SUMIFS(TableVerdeelsleutelVkm[LPG],TableVerdeelsleutelVkm[Voertuigtype],"Lichte voertuigen")*SUMIFS(TableECFTransport[EnergieConsumptieFactor (PJ per km)],TableECFTransport[Index],CONCATENATE($A10,"_LPG_LPG"))</f>
        <v>1.5081281692063101E-5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3.212139842807524E-3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8.6748294920309887E-4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1.2719710081684254E-4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5.4439663496300729E-3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1.8948187071048689E-6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1.7153513462303234E-4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8.6844153529972079</v>
      </c>
      <c r="C14" s="21"/>
      <c r="D14" s="21">
        <f t="shared" ref="D14:M14" si="0">((D5)*10^9/3600)+D12</f>
        <v>23.395744511990713</v>
      </c>
      <c r="E14" s="21">
        <f t="shared" si="0"/>
        <v>88.750485813253036</v>
      </c>
      <c r="F14" s="21"/>
      <c r="G14" s="21">
        <f t="shared" si="0"/>
        <v>24907.484063664186</v>
      </c>
      <c r="H14" s="21">
        <f t="shared" si="0"/>
        <v>6230.0037946277325</v>
      </c>
      <c r="I14" s="21"/>
      <c r="J14" s="21"/>
      <c r="K14" s="21"/>
      <c r="L14" s="21"/>
      <c r="M14" s="21">
        <f t="shared" si="0"/>
        <v>971.41329166481626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0.19488683215831976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1.6924781972927021</v>
      </c>
      <c r="C18" s="23"/>
      <c r="D18" s="23">
        <f t="shared" ref="D18:M18" si="1">D14*D16</f>
        <v>4.7259403914221245</v>
      </c>
      <c r="E18" s="23">
        <f t="shared" si="1"/>
        <v>20.146360279608441</v>
      </c>
      <c r="F18" s="23"/>
      <c r="G18" s="23">
        <f t="shared" si="1"/>
        <v>6650.2982449983383</v>
      </c>
      <c r="H18" s="23">
        <f t="shared" si="1"/>
        <v>1551.2709448623054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3.8782338859991721E-3</v>
      </c>
      <c r="H50" s="321">
        <f t="shared" si="2"/>
        <v>0</v>
      </c>
      <c r="I50" s="321">
        <f t="shared" si="2"/>
        <v>0</v>
      </c>
      <c r="J50" s="321">
        <f t="shared" si="2"/>
        <v>0</v>
      </c>
      <c r="K50" s="321">
        <f t="shared" si="2"/>
        <v>0</v>
      </c>
      <c r="L50" s="321">
        <f t="shared" si="2"/>
        <v>0</v>
      </c>
      <c r="M50" s="321">
        <f t="shared" si="2"/>
        <v>1.2029413882831099E-4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3.8782338859991721E-3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1.2029413882831099E-4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1077.2871905553257</v>
      </c>
      <c r="H54" s="21">
        <f t="shared" si="3"/>
        <v>0</v>
      </c>
      <c r="I54" s="21">
        <f t="shared" si="3"/>
        <v>0</v>
      </c>
      <c r="J54" s="21">
        <f t="shared" si="3"/>
        <v>0</v>
      </c>
      <c r="K54" s="21">
        <f t="shared" si="3"/>
        <v>0</v>
      </c>
      <c r="L54" s="21">
        <f t="shared" si="3"/>
        <v>0</v>
      </c>
      <c r="M54" s="21">
        <f t="shared" si="3"/>
        <v>33.415038563419721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0.19488683215831976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287.63567987827196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1911.909399462721</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1911.909399462721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3472.0918251200001</v>
      </c>
      <c r="D10" s="718">
        <f ca="1">tertiair!C16</f>
        <v>0</v>
      </c>
      <c r="E10" s="718">
        <f ca="1">tertiair!D16</f>
        <v>0</v>
      </c>
      <c r="F10" s="718">
        <f>tertiair!E16</f>
        <v>73.816316285070741</v>
      </c>
      <c r="G10" s="718">
        <f ca="1">tertiair!F16</f>
        <v>1026.5093359495918</v>
      </c>
      <c r="H10" s="718">
        <f>tertiair!G16</f>
        <v>0</v>
      </c>
      <c r="I10" s="718">
        <f>tertiair!H16</f>
        <v>0</v>
      </c>
      <c r="J10" s="718">
        <f>tertiair!I16</f>
        <v>0</v>
      </c>
      <c r="K10" s="718">
        <f>tertiair!J16</f>
        <v>0</v>
      </c>
      <c r="L10" s="718">
        <f>tertiair!K16</f>
        <v>0</v>
      </c>
      <c r="M10" s="718">
        <f ca="1">tertiair!L16</f>
        <v>0</v>
      </c>
      <c r="N10" s="718">
        <f>tertiair!M16</f>
        <v>0</v>
      </c>
      <c r="O10" s="718">
        <f ca="1">tertiair!N16</f>
        <v>199.20928288084113</v>
      </c>
      <c r="P10" s="718">
        <f>tertiair!O16</f>
        <v>0</v>
      </c>
      <c r="Q10" s="719">
        <f>tertiair!P16</f>
        <v>19.066666666666666</v>
      </c>
      <c r="R10" s="721">
        <f ca="1">SUM(C10:Q10)</f>
        <v>4790.6934269021694</v>
      </c>
      <c r="S10" s="67"/>
    </row>
    <row r="11" spans="1:19" s="474" customFormat="1">
      <c r="A11" s="870" t="s">
        <v>225</v>
      </c>
      <c r="B11" s="875"/>
      <c r="C11" s="718">
        <f>huishoudens!B8</f>
        <v>9612.5909880946092</v>
      </c>
      <c r="D11" s="718">
        <f>huishoudens!C8</f>
        <v>0</v>
      </c>
      <c r="E11" s="718">
        <f>huishoudens!D8</f>
        <v>0</v>
      </c>
      <c r="F11" s="718">
        <f>huishoudens!E8</f>
        <v>3268.3221092181125</v>
      </c>
      <c r="G11" s="718">
        <f>huishoudens!F8</f>
        <v>29139.992718888196</v>
      </c>
      <c r="H11" s="718">
        <f>huishoudens!G8</f>
        <v>0</v>
      </c>
      <c r="I11" s="718">
        <f>huishoudens!H8</f>
        <v>0</v>
      </c>
      <c r="J11" s="718">
        <f>huishoudens!I8</f>
        <v>0</v>
      </c>
      <c r="K11" s="718">
        <f>huishoudens!J8</f>
        <v>1575.5881281549382</v>
      </c>
      <c r="L11" s="718">
        <f>huishoudens!K8</f>
        <v>0</v>
      </c>
      <c r="M11" s="718">
        <f>huishoudens!L8</f>
        <v>0</v>
      </c>
      <c r="N11" s="718">
        <f>huishoudens!M8</f>
        <v>0</v>
      </c>
      <c r="O11" s="718">
        <f>huishoudens!N8</f>
        <v>5622.9016663605798</v>
      </c>
      <c r="P11" s="718">
        <f>huishoudens!O8</f>
        <v>81.293333333333337</v>
      </c>
      <c r="Q11" s="719">
        <f>huishoudens!P8</f>
        <v>381.33333333333337</v>
      </c>
      <c r="R11" s="721">
        <f>SUM(C11:Q11)</f>
        <v>49682.022277383105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584.9884366</v>
      </c>
      <c r="D13" s="718">
        <f>industrie!C18</f>
        <v>0</v>
      </c>
      <c r="E13" s="718">
        <f>industrie!D18</f>
        <v>0</v>
      </c>
      <c r="F13" s="718">
        <f>industrie!E18</f>
        <v>80.764727846347043</v>
      </c>
      <c r="G13" s="718">
        <f>industrie!F18</f>
        <v>284.36943676013755</v>
      </c>
      <c r="H13" s="718">
        <f>industrie!G18</f>
        <v>0</v>
      </c>
      <c r="I13" s="718">
        <f>industrie!H18</f>
        <v>0</v>
      </c>
      <c r="J13" s="718">
        <f>industrie!I18</f>
        <v>0</v>
      </c>
      <c r="K13" s="718">
        <f>industrie!J18</f>
        <v>2.7646335911377107</v>
      </c>
      <c r="L13" s="718">
        <f>industrie!K18</f>
        <v>0</v>
      </c>
      <c r="M13" s="718">
        <f>industrie!L18</f>
        <v>0</v>
      </c>
      <c r="N13" s="718">
        <f>industrie!M18</f>
        <v>0</v>
      </c>
      <c r="O13" s="718">
        <f>industrie!N18</f>
        <v>144.96845058534092</v>
      </c>
      <c r="P13" s="718">
        <f>industrie!O18</f>
        <v>0</v>
      </c>
      <c r="Q13" s="719">
        <f>industrie!P18</f>
        <v>0</v>
      </c>
      <c r="R13" s="721">
        <f>SUM(C13:Q13)</f>
        <v>1097.8556853829632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13669.67124981461</v>
      </c>
      <c r="D15" s="723">
        <f t="shared" ref="D15:Q15" ca="1" si="0">SUM(D9:D14)</f>
        <v>0</v>
      </c>
      <c r="E15" s="723">
        <f t="shared" ca="1" si="0"/>
        <v>0</v>
      </c>
      <c r="F15" s="723">
        <f t="shared" si="0"/>
        <v>3422.9031533495299</v>
      </c>
      <c r="G15" s="723">
        <f t="shared" ca="1" si="0"/>
        <v>30450.871491597925</v>
      </c>
      <c r="H15" s="723">
        <f t="shared" si="0"/>
        <v>0</v>
      </c>
      <c r="I15" s="723">
        <f t="shared" si="0"/>
        <v>0</v>
      </c>
      <c r="J15" s="723">
        <f t="shared" si="0"/>
        <v>0</v>
      </c>
      <c r="K15" s="723">
        <f t="shared" si="0"/>
        <v>1578.3527617460759</v>
      </c>
      <c r="L15" s="723">
        <f t="shared" si="0"/>
        <v>0</v>
      </c>
      <c r="M15" s="723">
        <f t="shared" ca="1" si="0"/>
        <v>0</v>
      </c>
      <c r="N15" s="723">
        <f t="shared" si="0"/>
        <v>0</v>
      </c>
      <c r="O15" s="723">
        <f t="shared" ca="1" si="0"/>
        <v>5967.0793998267618</v>
      </c>
      <c r="P15" s="723">
        <f t="shared" si="0"/>
        <v>81.293333333333337</v>
      </c>
      <c r="Q15" s="724">
        <f t="shared" si="0"/>
        <v>400.40000000000003</v>
      </c>
      <c r="R15" s="725">
        <f ca="1">SUM(R9:R14)</f>
        <v>55570.571389668243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1077.2871905553257</v>
      </c>
      <c r="I18" s="718">
        <f>transport!H54</f>
        <v>0</v>
      </c>
      <c r="J18" s="718">
        <f>transport!I54</f>
        <v>0</v>
      </c>
      <c r="K18" s="718">
        <f>transport!J54</f>
        <v>0</v>
      </c>
      <c r="L18" s="718">
        <f>transport!K54</f>
        <v>0</v>
      </c>
      <c r="M18" s="718">
        <f>transport!L54</f>
        <v>0</v>
      </c>
      <c r="N18" s="718">
        <f>transport!M54</f>
        <v>33.415038563419721</v>
      </c>
      <c r="O18" s="718">
        <f>transport!N54</f>
        <v>0</v>
      </c>
      <c r="P18" s="718">
        <f>transport!O54</f>
        <v>0</v>
      </c>
      <c r="Q18" s="719">
        <f>transport!P54</f>
        <v>0</v>
      </c>
      <c r="R18" s="721">
        <f>SUM(C18:Q18)</f>
        <v>1110.7022291187454</v>
      </c>
      <c r="S18" s="67"/>
    </row>
    <row r="19" spans="1:19" s="474" customFormat="1" ht="15" thickBot="1">
      <c r="A19" s="870" t="s">
        <v>307</v>
      </c>
      <c r="B19" s="875"/>
      <c r="C19" s="727">
        <f>transport!B14</f>
        <v>8.6844153529972079</v>
      </c>
      <c r="D19" s="727">
        <f>transport!C14</f>
        <v>0</v>
      </c>
      <c r="E19" s="727">
        <f>transport!D14</f>
        <v>23.395744511990713</v>
      </c>
      <c r="F19" s="727">
        <f>transport!E14</f>
        <v>88.750485813253036</v>
      </c>
      <c r="G19" s="727">
        <f>transport!F14</f>
        <v>0</v>
      </c>
      <c r="H19" s="727">
        <f>transport!G14</f>
        <v>24907.484063664186</v>
      </c>
      <c r="I19" s="727">
        <f>transport!H14</f>
        <v>6230.0037946277325</v>
      </c>
      <c r="J19" s="727">
        <f>transport!I14</f>
        <v>0</v>
      </c>
      <c r="K19" s="727">
        <f>transport!J14</f>
        <v>0</v>
      </c>
      <c r="L19" s="727">
        <f>transport!K14</f>
        <v>0</v>
      </c>
      <c r="M19" s="727">
        <f>transport!L14</f>
        <v>0</v>
      </c>
      <c r="N19" s="727">
        <f>transport!M14</f>
        <v>971.41329166481626</v>
      </c>
      <c r="O19" s="727">
        <f>transport!N14</f>
        <v>0</v>
      </c>
      <c r="P19" s="727">
        <f>transport!O14</f>
        <v>0</v>
      </c>
      <c r="Q19" s="728">
        <f>transport!P14</f>
        <v>0</v>
      </c>
      <c r="R19" s="729">
        <f>SUM(C19:Q19)</f>
        <v>32229.731795634976</v>
      </c>
      <c r="S19" s="67"/>
    </row>
    <row r="20" spans="1:19" s="474" customFormat="1" ht="15.75" thickBot="1">
      <c r="A20" s="730" t="s">
        <v>230</v>
      </c>
      <c r="B20" s="878"/>
      <c r="C20" s="873">
        <f>SUM(C17:C19)</f>
        <v>8.6844153529972079</v>
      </c>
      <c r="D20" s="731">
        <f t="shared" ref="D20:R20" si="1">SUM(D17:D19)</f>
        <v>0</v>
      </c>
      <c r="E20" s="731">
        <f t="shared" si="1"/>
        <v>23.395744511990713</v>
      </c>
      <c r="F20" s="731">
        <f t="shared" si="1"/>
        <v>88.750485813253036</v>
      </c>
      <c r="G20" s="731">
        <f t="shared" si="1"/>
        <v>0</v>
      </c>
      <c r="H20" s="731">
        <f t="shared" si="1"/>
        <v>25984.771254219511</v>
      </c>
      <c r="I20" s="731">
        <f t="shared" si="1"/>
        <v>6230.0037946277325</v>
      </c>
      <c r="J20" s="731">
        <f t="shared" si="1"/>
        <v>0</v>
      </c>
      <c r="K20" s="731">
        <f t="shared" si="1"/>
        <v>0</v>
      </c>
      <c r="L20" s="731">
        <f t="shared" si="1"/>
        <v>0</v>
      </c>
      <c r="M20" s="731">
        <f t="shared" si="1"/>
        <v>0</v>
      </c>
      <c r="N20" s="731">
        <f t="shared" si="1"/>
        <v>1004.8283302282359</v>
      </c>
      <c r="O20" s="731">
        <f t="shared" si="1"/>
        <v>0</v>
      </c>
      <c r="P20" s="731">
        <f t="shared" si="1"/>
        <v>0</v>
      </c>
      <c r="Q20" s="732">
        <f t="shared" si="1"/>
        <v>0</v>
      </c>
      <c r="R20" s="733">
        <f t="shared" si="1"/>
        <v>33340.434024753718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2502.4455246000002</v>
      </c>
      <c r="D22" s="727">
        <f>+landbouw!C8</f>
        <v>0</v>
      </c>
      <c r="E22" s="727">
        <f>+landbouw!D8</f>
        <v>0</v>
      </c>
      <c r="F22" s="727">
        <f>+landbouw!E8</f>
        <v>64.528461799478492</v>
      </c>
      <c r="G22" s="727">
        <f>+landbouw!F8</f>
        <v>9146.9149600128694</v>
      </c>
      <c r="H22" s="727">
        <f>+landbouw!G8</f>
        <v>0</v>
      </c>
      <c r="I22" s="727">
        <f>+landbouw!H8</f>
        <v>0</v>
      </c>
      <c r="J22" s="727">
        <f>+landbouw!I8</f>
        <v>0</v>
      </c>
      <c r="K22" s="727">
        <f>+landbouw!J8</f>
        <v>360.26009893703997</v>
      </c>
      <c r="L22" s="727">
        <f>+landbouw!K8</f>
        <v>0</v>
      </c>
      <c r="M22" s="727">
        <f>+landbouw!L8</f>
        <v>0</v>
      </c>
      <c r="N22" s="727">
        <f>+landbouw!M8</f>
        <v>0</v>
      </c>
      <c r="O22" s="727">
        <f>+landbouw!N8</f>
        <v>0</v>
      </c>
      <c r="P22" s="727">
        <f>+landbouw!O8</f>
        <v>0</v>
      </c>
      <c r="Q22" s="728">
        <f>+landbouw!P8</f>
        <v>0</v>
      </c>
      <c r="R22" s="729">
        <f>SUM(C22:Q22)</f>
        <v>12074.149045349388</v>
      </c>
      <c r="S22" s="67"/>
    </row>
    <row r="23" spans="1:19" s="474" customFormat="1" ht="17.25" thickTop="1" thickBot="1">
      <c r="A23" s="734" t="s">
        <v>116</v>
      </c>
      <c r="B23" s="864"/>
      <c r="C23" s="735">
        <f ca="1">C20+C15+C22</f>
        <v>16180.801189767606</v>
      </c>
      <c r="D23" s="735">
        <f t="shared" ref="D23:Q23" ca="1" si="2">D20+D15+D22</f>
        <v>0</v>
      </c>
      <c r="E23" s="735">
        <f t="shared" ca="1" si="2"/>
        <v>23.395744511990713</v>
      </c>
      <c r="F23" s="735">
        <f t="shared" si="2"/>
        <v>3576.1821009622613</v>
      </c>
      <c r="G23" s="735">
        <f t="shared" ca="1" si="2"/>
        <v>39597.786451610795</v>
      </c>
      <c r="H23" s="735">
        <f t="shared" si="2"/>
        <v>25984.771254219511</v>
      </c>
      <c r="I23" s="735">
        <f t="shared" si="2"/>
        <v>6230.0037946277325</v>
      </c>
      <c r="J23" s="735">
        <f t="shared" si="2"/>
        <v>0</v>
      </c>
      <c r="K23" s="735">
        <f t="shared" si="2"/>
        <v>1938.6128606831157</v>
      </c>
      <c r="L23" s="735">
        <f t="shared" si="2"/>
        <v>0</v>
      </c>
      <c r="M23" s="735">
        <f t="shared" ca="1" si="2"/>
        <v>0</v>
      </c>
      <c r="N23" s="735">
        <f t="shared" si="2"/>
        <v>1004.8283302282359</v>
      </c>
      <c r="O23" s="735">
        <f t="shared" ca="1" si="2"/>
        <v>5967.0793998267618</v>
      </c>
      <c r="P23" s="735">
        <f t="shared" si="2"/>
        <v>81.293333333333337</v>
      </c>
      <c r="Q23" s="736">
        <f t="shared" si="2"/>
        <v>400.40000000000003</v>
      </c>
      <c r="R23" s="737">
        <f ca="1">R20+R15+R22</f>
        <v>100985.15445977135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676.66497676043559</v>
      </c>
      <c r="D36" s="718">
        <f ca="1">tertiair!C20</f>
        <v>0</v>
      </c>
      <c r="E36" s="718">
        <f ca="1">tertiair!D20</f>
        <v>0</v>
      </c>
      <c r="F36" s="718">
        <f>tertiair!E20</f>
        <v>16.756303796711059</v>
      </c>
      <c r="G36" s="718">
        <f ca="1">tertiair!F20</f>
        <v>274.07799269854104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967.49927325568774</v>
      </c>
    </row>
    <row r="37" spans="1:18">
      <c r="A37" s="885" t="s">
        <v>225</v>
      </c>
      <c r="B37" s="892"/>
      <c r="C37" s="718">
        <f ca="1">huishoudens!B12</f>
        <v>1873.3674065033711</v>
      </c>
      <c r="D37" s="718">
        <f ca="1">huishoudens!C12</f>
        <v>0</v>
      </c>
      <c r="E37" s="718">
        <f>huishoudens!D12</f>
        <v>0</v>
      </c>
      <c r="F37" s="718">
        <f>huishoudens!E12</f>
        <v>741.90911879251155</v>
      </c>
      <c r="G37" s="718">
        <f>huishoudens!F12</f>
        <v>7780.3780559431489</v>
      </c>
      <c r="H37" s="718">
        <f>huishoudens!G12</f>
        <v>0</v>
      </c>
      <c r="I37" s="718">
        <f>huishoudens!H12</f>
        <v>0</v>
      </c>
      <c r="J37" s="718">
        <f>huishoudens!I12</f>
        <v>0</v>
      </c>
      <c r="K37" s="718">
        <f>huishoudens!J12</f>
        <v>557.75819736684809</v>
      </c>
      <c r="L37" s="718">
        <f>huishoudens!K12</f>
        <v>0</v>
      </c>
      <c r="M37" s="718">
        <f>huishoudens!L12</f>
        <v>0</v>
      </c>
      <c r="N37" s="718">
        <f>huishoudens!M12</f>
        <v>0</v>
      </c>
      <c r="O37" s="718">
        <f>huishoudens!N12</f>
        <v>0</v>
      </c>
      <c r="P37" s="718">
        <f>huishoudens!O12</f>
        <v>0</v>
      </c>
      <c r="Q37" s="828">
        <f>huishoudens!P12</f>
        <v>0</v>
      </c>
      <c r="R37" s="917">
        <f ca="1">SUM(C37:Q37)</f>
        <v>10953.41277860588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114.00654325822208</v>
      </c>
      <c r="D39" s="718">
        <f ca="1">industrie!C22</f>
        <v>0</v>
      </c>
      <c r="E39" s="718">
        <f>industrie!D22</f>
        <v>0</v>
      </c>
      <c r="F39" s="718">
        <f>industrie!E22</f>
        <v>18.333593221120779</v>
      </c>
      <c r="G39" s="718">
        <f>industrie!F22</f>
        <v>75.926639614956727</v>
      </c>
      <c r="H39" s="718">
        <f>industrie!G22</f>
        <v>0</v>
      </c>
      <c r="I39" s="718">
        <f>industrie!H22</f>
        <v>0</v>
      </c>
      <c r="J39" s="718">
        <f>industrie!I22</f>
        <v>0</v>
      </c>
      <c r="K39" s="718">
        <f>industrie!J22</f>
        <v>0.97868029126274958</v>
      </c>
      <c r="L39" s="718">
        <f>industrie!K22</f>
        <v>0</v>
      </c>
      <c r="M39" s="718">
        <f>industrie!L22</f>
        <v>0</v>
      </c>
      <c r="N39" s="718">
        <f>industrie!M22</f>
        <v>0</v>
      </c>
      <c r="O39" s="718">
        <f>industrie!N22</f>
        <v>0</v>
      </c>
      <c r="P39" s="718">
        <f>industrie!O22</f>
        <v>0</v>
      </c>
      <c r="Q39" s="828">
        <f>industrie!P22</f>
        <v>0</v>
      </c>
      <c r="R39" s="918">
        <f ca="1">SUM(C39:Q39)</f>
        <v>209.24545638556233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2664.0389265220288</v>
      </c>
      <c r="D41" s="763">
        <f t="shared" ref="D41:R41" ca="1" si="4">SUM(D35:D40)</f>
        <v>0</v>
      </c>
      <c r="E41" s="763">
        <f t="shared" ca="1" si="4"/>
        <v>0</v>
      </c>
      <c r="F41" s="763">
        <f t="shared" si="4"/>
        <v>776.99901581034339</v>
      </c>
      <c r="G41" s="763">
        <f t="shared" ca="1" si="4"/>
        <v>8130.3826882566473</v>
      </c>
      <c r="H41" s="763">
        <f t="shared" si="4"/>
        <v>0</v>
      </c>
      <c r="I41" s="763">
        <f t="shared" si="4"/>
        <v>0</v>
      </c>
      <c r="J41" s="763">
        <f t="shared" si="4"/>
        <v>0</v>
      </c>
      <c r="K41" s="763">
        <f t="shared" si="4"/>
        <v>558.73687765811087</v>
      </c>
      <c r="L41" s="763">
        <f t="shared" si="4"/>
        <v>0</v>
      </c>
      <c r="M41" s="763">
        <f t="shared" ca="1" si="4"/>
        <v>0</v>
      </c>
      <c r="N41" s="763">
        <f t="shared" si="4"/>
        <v>0</v>
      </c>
      <c r="O41" s="763">
        <f t="shared" ca="1" si="4"/>
        <v>0</v>
      </c>
      <c r="P41" s="763">
        <f t="shared" si="4"/>
        <v>0</v>
      </c>
      <c r="Q41" s="764">
        <f t="shared" si="4"/>
        <v>0</v>
      </c>
      <c r="R41" s="765">
        <f t="shared" ca="1" si="4"/>
        <v>12130.15750824713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287.63567987827196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287.63567987827196</v>
      </c>
    </row>
    <row r="45" spans="1:18" ht="15" thickBot="1">
      <c r="A45" s="888" t="s">
        <v>307</v>
      </c>
      <c r="B45" s="898"/>
      <c r="C45" s="727">
        <f ca="1">transport!B18</f>
        <v>1.6924781972927021</v>
      </c>
      <c r="D45" s="727">
        <f>transport!C18</f>
        <v>0</v>
      </c>
      <c r="E45" s="727">
        <f>transport!D18</f>
        <v>4.7259403914221245</v>
      </c>
      <c r="F45" s="727">
        <f>transport!E18</f>
        <v>20.146360279608441</v>
      </c>
      <c r="G45" s="727">
        <f>transport!F18</f>
        <v>0</v>
      </c>
      <c r="H45" s="727">
        <f>transport!G18</f>
        <v>6650.2982449983383</v>
      </c>
      <c r="I45" s="727">
        <f>transport!H18</f>
        <v>1551.2709448623054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8228.1339687289674</v>
      </c>
    </row>
    <row r="46" spans="1:18" ht="15.75" thickBot="1">
      <c r="A46" s="886" t="s">
        <v>230</v>
      </c>
      <c r="B46" s="899"/>
      <c r="C46" s="763">
        <f t="shared" ref="C46:R46" ca="1" si="5">SUM(C43:C45)</f>
        <v>1.6924781972927021</v>
      </c>
      <c r="D46" s="763">
        <f t="shared" ca="1" si="5"/>
        <v>0</v>
      </c>
      <c r="E46" s="763">
        <f t="shared" si="5"/>
        <v>4.7259403914221245</v>
      </c>
      <c r="F46" s="763">
        <f t="shared" si="5"/>
        <v>20.146360279608441</v>
      </c>
      <c r="G46" s="763">
        <f t="shared" si="5"/>
        <v>0</v>
      </c>
      <c r="H46" s="763">
        <f t="shared" si="5"/>
        <v>6937.93392487661</v>
      </c>
      <c r="I46" s="763">
        <f t="shared" si="5"/>
        <v>1551.2709448623054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8515.76964860724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487.69368093805866</v>
      </c>
      <c r="D48" s="718">
        <f ca="1">+landbouw!C12</f>
        <v>0</v>
      </c>
      <c r="E48" s="718">
        <f>+landbouw!D12</f>
        <v>0</v>
      </c>
      <c r="F48" s="718">
        <f>+landbouw!E12</f>
        <v>14.647960828481619</v>
      </c>
      <c r="G48" s="718">
        <f>+landbouw!F12</f>
        <v>2442.2262943234364</v>
      </c>
      <c r="H48" s="718">
        <f>+landbouw!G12</f>
        <v>0</v>
      </c>
      <c r="I48" s="718">
        <f>+landbouw!H12</f>
        <v>0</v>
      </c>
      <c r="J48" s="718">
        <f>+landbouw!I12</f>
        <v>0</v>
      </c>
      <c r="K48" s="718">
        <f>+landbouw!J12</f>
        <v>127.53207502371214</v>
      </c>
      <c r="L48" s="718">
        <f>+landbouw!K12</f>
        <v>0</v>
      </c>
      <c r="M48" s="718">
        <f>+landbouw!L12</f>
        <v>0</v>
      </c>
      <c r="N48" s="718">
        <f>+landbouw!M12</f>
        <v>0</v>
      </c>
      <c r="O48" s="718">
        <f>+landbouw!N12</f>
        <v>0</v>
      </c>
      <c r="P48" s="718">
        <f>+landbouw!O12</f>
        <v>0</v>
      </c>
      <c r="Q48" s="719">
        <f>+landbouw!P12</f>
        <v>0</v>
      </c>
      <c r="R48" s="761">
        <f ca="1">SUM(C48:Q48)</f>
        <v>3072.1000111136887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3153.4250856573799</v>
      </c>
      <c r="D53" s="773">
        <f t="shared" ref="D53:Q53" ca="1" si="6">D41+D46+D48</f>
        <v>0</v>
      </c>
      <c r="E53" s="773">
        <f t="shared" ca="1" si="6"/>
        <v>4.7259403914221245</v>
      </c>
      <c r="F53" s="773">
        <f t="shared" si="6"/>
        <v>811.7933369184334</v>
      </c>
      <c r="G53" s="773">
        <f t="shared" ca="1" si="6"/>
        <v>10572.608982580085</v>
      </c>
      <c r="H53" s="773">
        <f t="shared" si="6"/>
        <v>6937.93392487661</v>
      </c>
      <c r="I53" s="773">
        <f t="shared" si="6"/>
        <v>1551.2709448623054</v>
      </c>
      <c r="J53" s="773">
        <f t="shared" si="6"/>
        <v>0</v>
      </c>
      <c r="K53" s="773">
        <f t="shared" si="6"/>
        <v>686.26895268182307</v>
      </c>
      <c r="L53" s="773">
        <f t="shared" si="6"/>
        <v>0</v>
      </c>
      <c r="M53" s="773">
        <f t="shared" ca="1" si="6"/>
        <v>0</v>
      </c>
      <c r="N53" s="773">
        <f t="shared" si="6"/>
        <v>0</v>
      </c>
      <c r="O53" s="773">
        <f t="shared" ca="1" si="6"/>
        <v>0</v>
      </c>
      <c r="P53" s="773">
        <f>P41+P46+P48</f>
        <v>0</v>
      </c>
      <c r="Q53" s="774">
        <f t="shared" si="6"/>
        <v>0</v>
      </c>
      <c r="R53" s="775">
        <f ca="1">R41+R46+R48</f>
        <v>23718.027167968059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0.19488683215831976</v>
      </c>
      <c r="D55" s="836">
        <f t="shared" ca="1" si="7"/>
        <v>0</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1911.909399462721</v>
      </c>
      <c r="C66" s="795">
        <f>'lokale energieproductie'!B6</f>
        <v>1911.909399462721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1911.909399462721</v>
      </c>
      <c r="C69" s="803">
        <f>SUM(C64:C68)</f>
        <v>1911.909399462721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9612.5909880946092</v>
      </c>
      <c r="C4" s="478">
        <f>huishoudens!C8</f>
        <v>0</v>
      </c>
      <c r="D4" s="478">
        <f>huishoudens!D8</f>
        <v>0</v>
      </c>
      <c r="E4" s="478">
        <f>huishoudens!E8</f>
        <v>3268.3221092181125</v>
      </c>
      <c r="F4" s="478">
        <f>huishoudens!F8</f>
        <v>29139.992718888196</v>
      </c>
      <c r="G4" s="478">
        <f>huishoudens!G8</f>
        <v>0</v>
      </c>
      <c r="H4" s="478">
        <f>huishoudens!H8</f>
        <v>0</v>
      </c>
      <c r="I4" s="478">
        <f>huishoudens!I8</f>
        <v>0</v>
      </c>
      <c r="J4" s="478">
        <f>huishoudens!J8</f>
        <v>1575.5881281549382</v>
      </c>
      <c r="K4" s="478">
        <f>huishoudens!K8</f>
        <v>0</v>
      </c>
      <c r="L4" s="478">
        <f>huishoudens!L8</f>
        <v>0</v>
      </c>
      <c r="M4" s="478">
        <f>huishoudens!M8</f>
        <v>0</v>
      </c>
      <c r="N4" s="478">
        <f>huishoudens!N8</f>
        <v>5622.9016663605798</v>
      </c>
      <c r="O4" s="478">
        <f>huishoudens!O8</f>
        <v>81.293333333333337</v>
      </c>
      <c r="P4" s="479">
        <f>huishoudens!P8</f>
        <v>381.33333333333337</v>
      </c>
      <c r="Q4" s="480">
        <f>SUM(B4:P4)</f>
        <v>49682.022277383105</v>
      </c>
    </row>
    <row r="5" spans="1:17">
      <c r="A5" s="477" t="s">
        <v>156</v>
      </c>
      <c r="B5" s="478">
        <f ca="1">tertiair!B16</f>
        <v>3158.2218251200002</v>
      </c>
      <c r="C5" s="478">
        <f ca="1">tertiair!C16</f>
        <v>0</v>
      </c>
      <c r="D5" s="478">
        <f ca="1">tertiair!D16</f>
        <v>0</v>
      </c>
      <c r="E5" s="478">
        <f>tertiair!E16</f>
        <v>73.816316285070741</v>
      </c>
      <c r="F5" s="478">
        <f ca="1">tertiair!F16</f>
        <v>1026.5093359495918</v>
      </c>
      <c r="G5" s="478">
        <f>tertiair!G16</f>
        <v>0</v>
      </c>
      <c r="H5" s="478">
        <f>tertiair!H16</f>
        <v>0</v>
      </c>
      <c r="I5" s="478">
        <f>tertiair!I16</f>
        <v>0</v>
      </c>
      <c r="J5" s="478">
        <f>tertiair!J16</f>
        <v>0</v>
      </c>
      <c r="K5" s="478">
        <f>tertiair!K16</f>
        <v>0</v>
      </c>
      <c r="L5" s="478">
        <f ca="1">tertiair!L16</f>
        <v>0</v>
      </c>
      <c r="M5" s="478">
        <f>tertiair!M16</f>
        <v>0</v>
      </c>
      <c r="N5" s="478">
        <f ca="1">tertiair!N16</f>
        <v>199.20928288084113</v>
      </c>
      <c r="O5" s="478">
        <f>tertiair!O16</f>
        <v>0</v>
      </c>
      <c r="P5" s="479">
        <f>tertiair!P16</f>
        <v>19.066666666666666</v>
      </c>
      <c r="Q5" s="477">
        <f t="shared" ref="Q5:Q13" ca="1" si="0">SUM(B5:P5)</f>
        <v>4476.8234269021705</v>
      </c>
    </row>
    <row r="6" spans="1:17">
      <c r="A6" s="477" t="s">
        <v>194</v>
      </c>
      <c r="B6" s="478">
        <f>'openbare verlichting'!B8</f>
        <v>313.87</v>
      </c>
      <c r="C6" s="478"/>
      <c r="D6" s="478"/>
      <c r="E6" s="478"/>
      <c r="F6" s="478"/>
      <c r="G6" s="478"/>
      <c r="H6" s="478"/>
      <c r="I6" s="478"/>
      <c r="J6" s="478"/>
      <c r="K6" s="478"/>
      <c r="L6" s="478"/>
      <c r="M6" s="478"/>
      <c r="N6" s="478"/>
      <c r="O6" s="478"/>
      <c r="P6" s="479"/>
      <c r="Q6" s="477">
        <f t="shared" si="0"/>
        <v>313.87</v>
      </c>
    </row>
    <row r="7" spans="1:17">
      <c r="A7" s="477" t="s">
        <v>112</v>
      </c>
      <c r="B7" s="478">
        <f>landbouw!B8</f>
        <v>2502.4455246000002</v>
      </c>
      <c r="C7" s="478">
        <f>landbouw!C8</f>
        <v>0</v>
      </c>
      <c r="D7" s="478">
        <f>landbouw!D8</f>
        <v>0</v>
      </c>
      <c r="E7" s="478">
        <f>landbouw!E8</f>
        <v>64.528461799478492</v>
      </c>
      <c r="F7" s="478">
        <f>landbouw!F8</f>
        <v>9146.9149600128694</v>
      </c>
      <c r="G7" s="478">
        <f>landbouw!G8</f>
        <v>0</v>
      </c>
      <c r="H7" s="478">
        <f>landbouw!H8</f>
        <v>0</v>
      </c>
      <c r="I7" s="478">
        <f>landbouw!I8</f>
        <v>0</v>
      </c>
      <c r="J7" s="478">
        <f>landbouw!J8</f>
        <v>360.26009893703997</v>
      </c>
      <c r="K7" s="478">
        <f>landbouw!K8</f>
        <v>0</v>
      </c>
      <c r="L7" s="478">
        <f>landbouw!L8</f>
        <v>0</v>
      </c>
      <c r="M7" s="478">
        <f>landbouw!M8</f>
        <v>0</v>
      </c>
      <c r="N7" s="478">
        <f>landbouw!N8</f>
        <v>0</v>
      </c>
      <c r="O7" s="478">
        <f>landbouw!O8</f>
        <v>0</v>
      </c>
      <c r="P7" s="479">
        <f>landbouw!P8</f>
        <v>0</v>
      </c>
      <c r="Q7" s="477">
        <f t="shared" si="0"/>
        <v>12074.149045349388</v>
      </c>
    </row>
    <row r="8" spans="1:17">
      <c r="A8" s="477" t="s">
        <v>638</v>
      </c>
      <c r="B8" s="478">
        <f>industrie!B18</f>
        <v>584.9884366</v>
      </c>
      <c r="C8" s="478">
        <f>industrie!C18</f>
        <v>0</v>
      </c>
      <c r="D8" s="478">
        <f>industrie!D18</f>
        <v>0</v>
      </c>
      <c r="E8" s="478">
        <f>industrie!E18</f>
        <v>80.764727846347043</v>
      </c>
      <c r="F8" s="478">
        <f>industrie!F18</f>
        <v>284.36943676013755</v>
      </c>
      <c r="G8" s="478">
        <f>industrie!G18</f>
        <v>0</v>
      </c>
      <c r="H8" s="478">
        <f>industrie!H18</f>
        <v>0</v>
      </c>
      <c r="I8" s="478">
        <f>industrie!I18</f>
        <v>0</v>
      </c>
      <c r="J8" s="478">
        <f>industrie!J18</f>
        <v>2.7646335911377107</v>
      </c>
      <c r="K8" s="478">
        <f>industrie!K18</f>
        <v>0</v>
      </c>
      <c r="L8" s="478">
        <f>industrie!L18</f>
        <v>0</v>
      </c>
      <c r="M8" s="478">
        <f>industrie!M18</f>
        <v>0</v>
      </c>
      <c r="N8" s="478">
        <f>industrie!N18</f>
        <v>144.96845058534092</v>
      </c>
      <c r="O8" s="478">
        <f>industrie!O18</f>
        <v>0</v>
      </c>
      <c r="P8" s="479">
        <f>industrie!P18</f>
        <v>0</v>
      </c>
      <c r="Q8" s="477">
        <f t="shared" si="0"/>
        <v>1097.8556853829632</v>
      </c>
    </row>
    <row r="9" spans="1:17" s="483" customFormat="1">
      <c r="A9" s="481" t="s">
        <v>564</v>
      </c>
      <c r="B9" s="482">
        <f>transport!B14</f>
        <v>8.6844153529972079</v>
      </c>
      <c r="C9" s="482">
        <f>transport!C14</f>
        <v>0</v>
      </c>
      <c r="D9" s="482">
        <f>transport!D14</f>
        <v>23.395744511990713</v>
      </c>
      <c r="E9" s="482">
        <f>transport!E14</f>
        <v>88.750485813253036</v>
      </c>
      <c r="F9" s="482">
        <f>transport!F14</f>
        <v>0</v>
      </c>
      <c r="G9" s="482">
        <f>transport!G14</f>
        <v>24907.484063664186</v>
      </c>
      <c r="H9" s="482">
        <f>transport!H14</f>
        <v>6230.0037946277325</v>
      </c>
      <c r="I9" s="482">
        <f>transport!I14</f>
        <v>0</v>
      </c>
      <c r="J9" s="482">
        <f>transport!J14</f>
        <v>0</v>
      </c>
      <c r="K9" s="482">
        <f>transport!K14</f>
        <v>0</v>
      </c>
      <c r="L9" s="482">
        <f>transport!L14</f>
        <v>0</v>
      </c>
      <c r="M9" s="482">
        <f>transport!M14</f>
        <v>971.41329166481626</v>
      </c>
      <c r="N9" s="482">
        <f>transport!N14</f>
        <v>0</v>
      </c>
      <c r="O9" s="482">
        <f>transport!O14</f>
        <v>0</v>
      </c>
      <c r="P9" s="482">
        <f>transport!P14</f>
        <v>0</v>
      </c>
      <c r="Q9" s="481">
        <f>SUM(B9:P9)</f>
        <v>32229.731795634976</v>
      </c>
    </row>
    <row r="10" spans="1:17">
      <c r="A10" s="477" t="s">
        <v>554</v>
      </c>
      <c r="B10" s="478">
        <f>transport!B54</f>
        <v>0</v>
      </c>
      <c r="C10" s="478">
        <f>transport!C54</f>
        <v>0</v>
      </c>
      <c r="D10" s="478">
        <f>transport!D54</f>
        <v>0</v>
      </c>
      <c r="E10" s="478">
        <f>transport!E54</f>
        <v>0</v>
      </c>
      <c r="F10" s="478">
        <f>transport!F54</f>
        <v>0</v>
      </c>
      <c r="G10" s="478">
        <f>transport!G54</f>
        <v>1077.2871905553257</v>
      </c>
      <c r="H10" s="478">
        <f>transport!H54</f>
        <v>0</v>
      </c>
      <c r="I10" s="478">
        <f>transport!I54</f>
        <v>0</v>
      </c>
      <c r="J10" s="478">
        <f>transport!J54</f>
        <v>0</v>
      </c>
      <c r="K10" s="478">
        <f>transport!K54</f>
        <v>0</v>
      </c>
      <c r="L10" s="478">
        <f>transport!L54</f>
        <v>0</v>
      </c>
      <c r="M10" s="478">
        <f>transport!M54</f>
        <v>33.415038563419721</v>
      </c>
      <c r="N10" s="478">
        <f>transport!N54</f>
        <v>0</v>
      </c>
      <c r="O10" s="478">
        <f>transport!O54</f>
        <v>0</v>
      </c>
      <c r="P10" s="479">
        <f>transport!P54</f>
        <v>0</v>
      </c>
      <c r="Q10" s="477">
        <f t="shared" si="0"/>
        <v>1110.7022291187454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16180.801189767606</v>
      </c>
      <c r="C14" s="488">
        <f t="shared" ref="C14:Q14" ca="1" si="1">SUM(C4:C13)</f>
        <v>0</v>
      </c>
      <c r="D14" s="488">
        <f t="shared" ca="1" si="1"/>
        <v>23.395744511990713</v>
      </c>
      <c r="E14" s="488">
        <f t="shared" si="1"/>
        <v>3576.1821009622613</v>
      </c>
      <c r="F14" s="488">
        <f t="shared" ca="1" si="1"/>
        <v>39597.786451610787</v>
      </c>
      <c r="G14" s="488">
        <f t="shared" si="1"/>
        <v>25984.771254219511</v>
      </c>
      <c r="H14" s="488">
        <f t="shared" si="1"/>
        <v>6230.0037946277325</v>
      </c>
      <c r="I14" s="488">
        <f t="shared" si="1"/>
        <v>0</v>
      </c>
      <c r="J14" s="488">
        <f t="shared" si="1"/>
        <v>1938.6128606831157</v>
      </c>
      <c r="K14" s="488">
        <f t="shared" si="1"/>
        <v>0</v>
      </c>
      <c r="L14" s="488">
        <f t="shared" ca="1" si="1"/>
        <v>0</v>
      </c>
      <c r="M14" s="488">
        <f t="shared" si="1"/>
        <v>1004.8283302282359</v>
      </c>
      <c r="N14" s="488">
        <f t="shared" ca="1" si="1"/>
        <v>5967.0793998267618</v>
      </c>
      <c r="O14" s="488">
        <f t="shared" si="1"/>
        <v>81.293333333333337</v>
      </c>
      <c r="P14" s="489">
        <f t="shared" si="1"/>
        <v>400.40000000000003</v>
      </c>
      <c r="Q14" s="489">
        <f t="shared" ca="1" si="1"/>
        <v>100985.15445977135</v>
      </c>
    </row>
    <row r="16" spans="1:17">
      <c r="A16" s="491" t="s">
        <v>559</v>
      </c>
      <c r="B16" s="841">
        <f ca="1">huishoudens!B10</f>
        <v>0.19488683215831976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1873.3674065033711</v>
      </c>
      <c r="C21" s="478">
        <f t="shared" ref="C21:C30" ca="1" si="3">C4*$C$16</f>
        <v>0</v>
      </c>
      <c r="D21" s="478">
        <f t="shared" ref="D21:D30" si="4">D4*$D$16</f>
        <v>0</v>
      </c>
      <c r="E21" s="478">
        <f t="shared" ref="E21:E30" si="5">E4*$E$16</f>
        <v>741.90911879251155</v>
      </c>
      <c r="F21" s="478">
        <f t="shared" ref="F21:F30" si="6">F4*$F$16</f>
        <v>7780.3780559431489</v>
      </c>
      <c r="G21" s="478">
        <f t="shared" ref="G21:G30" si="7">G4*$G$16</f>
        <v>0</v>
      </c>
      <c r="H21" s="478">
        <f t="shared" ref="H21:H30" si="8">H4*$H$16</f>
        <v>0</v>
      </c>
      <c r="I21" s="478">
        <f t="shared" ref="I21:I30" si="9">I4*$I$16</f>
        <v>0</v>
      </c>
      <c r="J21" s="478">
        <f t="shared" ref="J21:J30" si="10">J4*$J$16</f>
        <v>557.75819736684809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10953.41277860588</v>
      </c>
    </row>
    <row r="22" spans="1:17">
      <c r="A22" s="477" t="s">
        <v>156</v>
      </c>
      <c r="B22" s="478">
        <f t="shared" ca="1" si="2"/>
        <v>615.49584675090375</v>
      </c>
      <c r="C22" s="478">
        <f t="shared" ca="1" si="3"/>
        <v>0</v>
      </c>
      <c r="D22" s="478">
        <f t="shared" ca="1" si="4"/>
        <v>0</v>
      </c>
      <c r="E22" s="478">
        <f t="shared" si="5"/>
        <v>16.756303796711059</v>
      </c>
      <c r="F22" s="478">
        <f t="shared" ca="1" si="6"/>
        <v>274.07799269854104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906.3301432461559</v>
      </c>
    </row>
    <row r="23" spans="1:17">
      <c r="A23" s="477" t="s">
        <v>194</v>
      </c>
      <c r="B23" s="478">
        <f t="shared" ca="1" si="2"/>
        <v>61.16913000953182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61.16913000953182</v>
      </c>
    </row>
    <row r="24" spans="1:17">
      <c r="A24" s="477" t="s">
        <v>112</v>
      </c>
      <c r="B24" s="478">
        <f t="shared" ca="1" si="2"/>
        <v>487.69368093805866</v>
      </c>
      <c r="C24" s="478">
        <f t="shared" ca="1" si="3"/>
        <v>0</v>
      </c>
      <c r="D24" s="478">
        <f t="shared" si="4"/>
        <v>0</v>
      </c>
      <c r="E24" s="478">
        <f t="shared" si="5"/>
        <v>14.647960828481619</v>
      </c>
      <c r="F24" s="478">
        <f t="shared" si="6"/>
        <v>2442.2262943234364</v>
      </c>
      <c r="G24" s="478">
        <f t="shared" si="7"/>
        <v>0</v>
      </c>
      <c r="H24" s="478">
        <f t="shared" si="8"/>
        <v>0</v>
      </c>
      <c r="I24" s="478">
        <f t="shared" si="9"/>
        <v>0</v>
      </c>
      <c r="J24" s="478">
        <f t="shared" si="10"/>
        <v>127.53207502371214</v>
      </c>
      <c r="K24" s="478">
        <f t="shared" si="11"/>
        <v>0</v>
      </c>
      <c r="L24" s="478">
        <f t="shared" si="12"/>
        <v>0</v>
      </c>
      <c r="M24" s="478">
        <f t="shared" si="13"/>
        <v>0</v>
      </c>
      <c r="N24" s="478">
        <f t="shared" si="14"/>
        <v>0</v>
      </c>
      <c r="O24" s="478">
        <f t="shared" si="15"/>
        <v>0</v>
      </c>
      <c r="P24" s="479">
        <f t="shared" si="16"/>
        <v>0</v>
      </c>
      <c r="Q24" s="477">
        <f t="shared" ca="1" si="17"/>
        <v>3072.1000111136887</v>
      </c>
    </row>
    <row r="25" spans="1:17">
      <c r="A25" s="477" t="s">
        <v>638</v>
      </c>
      <c r="B25" s="478">
        <f t="shared" ca="1" si="2"/>
        <v>114.00654325822208</v>
      </c>
      <c r="C25" s="478">
        <f t="shared" ca="1" si="3"/>
        <v>0</v>
      </c>
      <c r="D25" s="478">
        <f t="shared" si="4"/>
        <v>0</v>
      </c>
      <c r="E25" s="478">
        <f t="shared" si="5"/>
        <v>18.333593221120779</v>
      </c>
      <c r="F25" s="478">
        <f t="shared" si="6"/>
        <v>75.926639614956727</v>
      </c>
      <c r="G25" s="478">
        <f t="shared" si="7"/>
        <v>0</v>
      </c>
      <c r="H25" s="478">
        <f t="shared" si="8"/>
        <v>0</v>
      </c>
      <c r="I25" s="478">
        <f t="shared" si="9"/>
        <v>0</v>
      </c>
      <c r="J25" s="478">
        <f t="shared" si="10"/>
        <v>0.97868029126274958</v>
      </c>
      <c r="K25" s="478">
        <f t="shared" si="11"/>
        <v>0</v>
      </c>
      <c r="L25" s="478">
        <f t="shared" si="12"/>
        <v>0</v>
      </c>
      <c r="M25" s="478">
        <f t="shared" si="13"/>
        <v>0</v>
      </c>
      <c r="N25" s="478">
        <f t="shared" si="14"/>
        <v>0</v>
      </c>
      <c r="O25" s="478">
        <f t="shared" si="15"/>
        <v>0</v>
      </c>
      <c r="P25" s="479">
        <f t="shared" si="16"/>
        <v>0</v>
      </c>
      <c r="Q25" s="477">
        <f t="shared" ca="1" si="17"/>
        <v>209.24545638556233</v>
      </c>
    </row>
    <row r="26" spans="1:17" s="483" customFormat="1">
      <c r="A26" s="481" t="s">
        <v>564</v>
      </c>
      <c r="B26" s="835">
        <f t="shared" ca="1" si="2"/>
        <v>1.6924781972927021</v>
      </c>
      <c r="C26" s="482">
        <f t="shared" ca="1" si="3"/>
        <v>0</v>
      </c>
      <c r="D26" s="482">
        <f t="shared" si="4"/>
        <v>4.7259403914221245</v>
      </c>
      <c r="E26" s="482">
        <f t="shared" si="5"/>
        <v>20.146360279608441</v>
      </c>
      <c r="F26" s="482">
        <f t="shared" si="6"/>
        <v>0</v>
      </c>
      <c r="G26" s="482">
        <f t="shared" si="7"/>
        <v>6650.2982449983383</v>
      </c>
      <c r="H26" s="482">
        <f t="shared" si="8"/>
        <v>1551.2709448623054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8228.1339687289674</v>
      </c>
    </row>
    <row r="27" spans="1:17">
      <c r="A27" s="477" t="s">
        <v>554</v>
      </c>
      <c r="B27" s="478">
        <f t="shared" ca="1" si="2"/>
        <v>0</v>
      </c>
      <c r="C27" s="478">
        <f t="shared" ca="1" si="3"/>
        <v>0</v>
      </c>
      <c r="D27" s="478">
        <f t="shared" si="4"/>
        <v>0</v>
      </c>
      <c r="E27" s="478">
        <f t="shared" si="5"/>
        <v>0</v>
      </c>
      <c r="F27" s="478">
        <f t="shared" si="6"/>
        <v>0</v>
      </c>
      <c r="G27" s="478">
        <f t="shared" si="7"/>
        <v>287.63567987827196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287.63567987827196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3153.4250856573794</v>
      </c>
      <c r="C31" s="488">
        <f t="shared" ca="1" si="18"/>
        <v>0</v>
      </c>
      <c r="D31" s="488">
        <f t="shared" ca="1" si="18"/>
        <v>4.7259403914221245</v>
      </c>
      <c r="E31" s="488">
        <f t="shared" si="18"/>
        <v>811.7933369184334</v>
      </c>
      <c r="F31" s="488">
        <f t="shared" ca="1" si="18"/>
        <v>10572.608982580083</v>
      </c>
      <c r="G31" s="488">
        <f t="shared" si="18"/>
        <v>6937.93392487661</v>
      </c>
      <c r="H31" s="488">
        <f t="shared" si="18"/>
        <v>1551.2709448623054</v>
      </c>
      <c r="I31" s="488">
        <f t="shared" si="18"/>
        <v>0</v>
      </c>
      <c r="J31" s="488">
        <f t="shared" si="18"/>
        <v>686.26895268182295</v>
      </c>
      <c r="K31" s="488">
        <f t="shared" si="18"/>
        <v>0</v>
      </c>
      <c r="L31" s="488">
        <f t="shared" ca="1" si="18"/>
        <v>0</v>
      </c>
      <c r="M31" s="488">
        <f t="shared" si="18"/>
        <v>0</v>
      </c>
      <c r="N31" s="488">
        <f t="shared" ca="1" si="18"/>
        <v>0</v>
      </c>
      <c r="O31" s="488">
        <f t="shared" si="18"/>
        <v>0</v>
      </c>
      <c r="P31" s="489">
        <f t="shared" si="18"/>
        <v>0</v>
      </c>
      <c r="Q31" s="489">
        <f t="shared" ca="1" si="18"/>
        <v>23718.027167968059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0.19488683215831976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0.19488683215831976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0.19488683215831976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2018-06-27T09:45:02Z</dcterms:modified>
</cp:coreProperties>
</file>