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I14" i="48"/>
  <c r="P13" i="14"/>
  <c r="P15" s="1"/>
  <c r="P23" s="1"/>
  <c r="P55" s="1"/>
  <c r="E7" i="48"/>
  <c r="E24" s="1"/>
  <c r="D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C15"/>
  <c r="C23" s="1"/>
  <c r="B3" i="6" s="1"/>
  <c r="E53" i="14"/>
  <c r="M36"/>
  <c r="M41" s="1"/>
  <c r="L14" i="48"/>
  <c r="M23" i="14"/>
  <c r="Q5" i="48"/>
  <c r="O13" i="14"/>
  <c r="O15" s="1"/>
  <c r="F22" i="16"/>
  <c r="G39" i="14" s="1"/>
  <c r="G41" s="1"/>
  <c r="N22" i="16"/>
  <c r="O39" i="14" s="1"/>
  <c r="O41" s="1"/>
  <c r="F8" i="48"/>
  <c r="Q4"/>
  <c r="N22"/>
  <c r="R11" i="14"/>
  <c r="J21" i="48"/>
  <c r="C17" i="49" l="1"/>
  <c r="C29" i="20"/>
  <c r="C17" i="19"/>
  <c r="C19" s="1"/>
  <c r="D35" i="14" s="1"/>
  <c r="C20" i="16"/>
  <c r="C22" s="1"/>
  <c r="D39" i="14" s="1"/>
  <c r="C10" i="13"/>
  <c r="C16" i="48" s="1"/>
  <c r="C30" s="1"/>
  <c r="C16" i="22"/>
  <c r="C18" i="15"/>
  <c r="C20" s="1"/>
  <c r="D36" i="14" s="1"/>
  <c r="C10" i="17"/>
  <c r="C12" s="1"/>
  <c r="D48" i="14" s="1"/>
  <c r="C56" i="22"/>
  <c r="C58" s="1"/>
  <c r="D44" i="14" s="1"/>
  <c r="D46" s="1"/>
  <c r="F15"/>
  <c r="F23" s="1"/>
  <c r="F55" s="1"/>
  <c r="J8" i="48"/>
  <c r="J25" s="1"/>
  <c r="J31" s="1"/>
  <c r="N25"/>
  <c r="N31" s="1"/>
  <c r="N14"/>
  <c r="E25"/>
  <c r="E31" s="1"/>
  <c r="E14"/>
  <c r="K13" i="14"/>
  <c r="K15" s="1"/>
  <c r="K23" s="1"/>
  <c r="H55"/>
  <c r="E55"/>
  <c r="C78"/>
  <c r="C81" s="1"/>
  <c r="R19"/>
  <c r="R20" s="1"/>
  <c r="H14" i="48"/>
  <c r="G31"/>
  <c r="H26"/>
  <c r="H31" s="1"/>
  <c r="O53" i="14"/>
  <c r="G53"/>
  <c r="G55" s="1"/>
  <c r="O69" s="1"/>
  <c r="B9" i="6" s="1"/>
  <c r="B12" s="1"/>
  <c r="M53" i="14"/>
  <c r="M55" s="1"/>
  <c r="C24" i="48"/>
  <c r="C27"/>
  <c r="C28"/>
  <c r="C22"/>
  <c r="C25"/>
  <c r="K55" i="14"/>
  <c r="R13"/>
  <c r="R15" s="1"/>
  <c r="F25" i="48"/>
  <c r="F31" s="1"/>
  <c r="F14"/>
  <c r="J14" l="1"/>
  <c r="C29"/>
  <c r="C31" s="1"/>
  <c r="Q8"/>
  <c r="Q14"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<sst xmlns="http://schemas.openxmlformats.org/spreadsheetml/2006/main" count="1933" uniqueCount="824">
  <si>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</si>
  <si>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</si>
  <si>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</si>
  <si>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</si>
  <si>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</si>
  <si>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</si>
  <si>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</si>
  <si>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</si>
  <si>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</si>
  <si>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</si>
  <si>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</si>
  <si>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</si>
  <si>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</si>
  <si>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</si>
  <si>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</si>
  <si>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</si>
  <si>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</si>
  <si>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</si>
  <si>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</si>
  <si>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</si>
  <si>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</si>
  <si>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</si>
  <si>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</si>
  <si>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</si>
  <si>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</si>
  <si>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</si>
  <si>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</si>
  <si>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</si>
  <si>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</si>
  <si>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</si>
  <si>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</si>
  <si>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</si>
  <si>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</si>
  <si>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</si>
  <si>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</si>
  <si>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</si>
  <si>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</si>
  <si>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</si>
  <si>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</si>
  <si>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</si>
  <si>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</si>
  <si>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</si>
  <si>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</si>
  <si>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</si>
  <si>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</si>
  <si>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</si>
  <si>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</si>
  <si>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</si>
  <si>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</si>
  <si>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</si>
  <si>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</si>
  <si>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</si>
  <si>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</si>
  <si>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</si>
  <si>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</si>
  <si>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</si>
  <si>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</si>
  <si>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</si>
  <si>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</si>
  <si>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</si>
  <si>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</si>
  <si>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</si>
  <si>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</si>
  <si>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</si>
  <si>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</si>
  <si>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</si>
  <si>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</si>
  <si>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</si>
  <si>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</si>
  <si>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</si>
  <si>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</si>
  <si>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</si>
  <si>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</si>
  <si>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</si>
  <si>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</si>
  <si>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</si>
  <si>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</si>
  <si>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</si>
  <si>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</si>
  <si>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</si>
  <si>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</si>
  <si>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</si>
  <si>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</si>
  <si>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</si>
  <si>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</si>
  <si>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</si>
  <si>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</si>
  <si>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</si>
  <si>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</si>
  <si>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</si>
  <si>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</si>
  <si>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</si>
  <si>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</si>
  <si>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</si>
  <si>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</si>
  <si>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</si>
  <si>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</si>
  <si>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</si>
  <si>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</si>
  <si>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</si>
  <si>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</si>
  <si>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</si>
  <si>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</si>
  <si>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</si>
  <si>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</si>
  <si>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</si>
  <si>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</si>
  <si>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</si>
  <si>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</si>
  <si>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</si>
  <si>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</si>
  <si>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</si>
  <si>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</si>
  <si>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</si>
  <si>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</si>
  <si>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</si>
  <si>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</si>
  <si>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</si>
  <si>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</si>
  <si>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</si>
  <si>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</si>
  <si>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</si>
  <si>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</si>
  <si>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</si>
  <si>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</si>
  <si>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</si>
  <si>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</si>
  <si>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</si>
  <si>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</si>
  <si>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</si>
  <si>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</si>
  <si>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</si>
  <si>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</si>
  <si>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</si>
  <si>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</si>
  <si>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</si>
  <si>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</si>
  <si>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</si>
  <si>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</si>
  <si>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</si>
  <si>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</si>
  <si>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</si>
  <si>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</si>
  <si>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</si>
  <si>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</si>
  <si>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</si>
  <si>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</si>
  <si>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</si>
  <si>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</si>
  <si>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</si>
  <si>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</si>
  <si>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</si>
  <si>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</si>
  <si>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</si>
  <si>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</si>
  <si>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</si>
  <si>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</si>
  <si>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</si>
  <si>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</si>
  <si>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</si>
  <si>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</si>
  <si>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</si>
  <si>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</si>
  <si>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</si>
  <si>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</si>
  <si>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</si>
  <si>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</si>
  <si>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</si>
  <si>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</si>
  <si>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</si>
  <si>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</si>
  <si>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</si>
  <si>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</si>
  <si>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</si>
  <si>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</si>
  <si>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</si>
  <si>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</si>
  <si>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</si>
  <si>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</si>
  <si>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</si>
  <si>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</si>
  <si>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</si>
  <si>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</si>
  <si>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</si>
  <si>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</si>
  <si>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</si>
  <si>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</si>
  <si>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</si>
  <si>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</si>
  <si>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</si>
  <si>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</si>
  <si>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</si>
  <si>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</si>
  <si>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</si>
  <si>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</si>
  <si>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</si>
  <si>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</si>
  <si>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</si>
  <si>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</si>
  <si>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</si>
  <si>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</si>
  <si>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</si>
  <si>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</si>
  <si>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</si>
  <si>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</si>
  <si>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</si>
  <si>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</si>
  <si>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</si>
  <si>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</si>
  <si>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</si>
  <si>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</si>
  <si>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</si>
  <si>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</si>
  <si>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</si>
  <si>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</si>
  <si>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</si>
  <si>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</si>
  <si>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</si>
  <si>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</si>
  <si>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</si>
  <si>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</si>
  <si>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</si>
  <si>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</si>
  <si>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</si>
  <si>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</si>
  <si>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</si>
  <si>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</si>
  <si>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</si>
  <si>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</si>
  <si>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</si>
  <si>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</si>
  <si>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</si>
  <si>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</si>
  <si>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</si>
  <si>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</si>
  <si>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</si>
  <si>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</si>
  <si>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</si>
  <si>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</si>
  <si>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</si>
  <si>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</si>
  <si>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</si>
  <si>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</si>
  <si>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</si>
  <si>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</si>
  <si>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</si>
  <si>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</si>
  <si>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</si>
  <si>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</si>
  <si>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</si>
  <si>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</si>
  <si>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</si>
  <si>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</si>
  <si>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</si>
  <si>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</si>
  <si>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</si>
  <si>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</si>
  <si>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</si>
  <si>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</si>
  <si>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</si>
  <si>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</si>
  <si>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</si>
  <si>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</si>
  <si>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</si>
  <si>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</si>
  <si>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</si>
  <si>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</si>
  <si>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</si>
  <si>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</si>
  <si>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</si>
  <si>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</si>
  <si>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</si>
  <si>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</si>
  <si>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</si>
  <si>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</si>
  <si>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</si>
  <si>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</si>
  <si>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</si>
  <si>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</si>
  <si>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</si>
  <si>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</si>
  <si>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</si>
  <si>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</si>
  <si>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</si>
  <si>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</si>
  <si>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</si>
  <si>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</si>
  <si>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</si>
  <si>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</si>
  <si>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</si>
  <si>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</si>
  <si>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</si>
  <si>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</si>
  <si>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</si>
  <si>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</si>
  <si>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</si>
  <si>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</si>
  <si>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</si>
  <si>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</si>
  <si>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</si>
  <si>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</si>
  <si>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</si>
  <si>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</si>
  <si>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</si>
  <si>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</si>
  <si>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</si>
  <si>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</si>
  <si>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</si>
  <si>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</si>
  <si>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</si>
  <si>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</si>
  <si>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</si>
  <si>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</si>
  <si>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</si>
  <si>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</si>
  <si>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</si>
  <si>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</si>
  <si>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</si>
  <si>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</si>
  <si>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</si>
  <si>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</si>
  <si>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</si>
  <si>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</si>
  <si>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</si>
  <si>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</si>
  <si>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</si>
  <si>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</si>
  <si>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</si>
  <si>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</si>
  <si>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</si>
  <si>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</si>
  <si>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</si>
  <si>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</si>
  <si>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</si>
  <si>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</si>
  <si>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</si>
  <si>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</si>
  <si>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</si>
  <si>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</si>
  <si>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</si>
  <si>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</si>
  <si>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</si>
  <si>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</si>
  <si>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</si>
  <si>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</si>
  <si>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</si>
  <si>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</si>
  <si>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</si>
  <si>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</si>
  <si>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</si>
  <si>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</si>
  <si>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</si>
  <si>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</si>
  <si>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</si>
  <si>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</si>
  <si>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</si>
  <si>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</si>
  <si>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</si>
  <si>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</si>
  <si>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</si>
  <si>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</si>
  <si>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</si>
  <si>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</si>
  <si>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</si>
  <si>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</si>
  <si>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</si>
  <si>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</si>
  <si>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</si>
  <si>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</si>
  <si>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</si>
  <si>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</si>
  <si>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</si>
  <si>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</si>
  <si>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</si>
  <si>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</si>
  <si>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</si>
  <si>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</si>
  <si>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</si>
  <si>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</si>
  <si>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</si>
  <si>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</si>
  <si>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</si>
  <si>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</si>
  <si>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</si>
  <si>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</si>
  <si>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</si>
  <si>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</si>
  <si>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</si>
  <si>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</si>
  <si>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</si>
  <si>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</si>
  <si>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</si>
  <si>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</si>
  <si>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</si>
  <si>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</si>
  <si>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</si>
  <si>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</si>
  <si>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</si>
  <si>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</si>
  <si>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</si>
  <si>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</si>
  <si>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</si>
  <si>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</si>
  <si>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</si>
  <si>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</si>
  <si>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</si>
  <si>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</si>
  <si>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</si>
  <si>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</si>
  <si>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</si>
  <si>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</si>
  <si>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</si>
  <si>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</si>
  <si>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</si>
  <si>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</si>
  <si>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</si>
  <si>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</si>
  <si>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</si>
  <si>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</si>
  <si>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</si>
  <si>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</si>
  <si>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</si>
  <si>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</si>
  <si>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</si>
  <si>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</si>
  <si>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</si>
  <si>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</si>
  <si>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</si>
  <si>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</si>
  <si>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</si>
  <si>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</si>
  <si>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</si>
  <si>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</si>
  <si>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</si>
  <si>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</si>
  <si>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</si>
  <si>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</si>
  <si>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</si>
  <si>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</si>
  <si>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</si>
  <si>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</si>
  <si>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</si>
  <si>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</si>
  <si>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</si>
  <si>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</si>
  <si>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</si>
  <si>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</si>
  <si>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</si>
  <si>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</si>
  <si>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</si>
  <si>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</si>
  <si>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</si>
  <si>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</si>
  <si>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</si>
  <si>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</si>
  <si>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</si>
  <si>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</si>
  <si>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</si>
  <si>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</si>
  <si>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</si>
  <si>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</si>
  <si>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</si>
  <si>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</si>
  <si>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</si>
  <si>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</si>
  <si>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</si>
  <si>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</si>
  <si>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</si>
  <si>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</si>
  <si>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</si>
  <si>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</si>
  <si>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</si>
  <si>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</si>
  <si>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</si>
  <si>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</si>
  <si>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</si>
  <si>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</si>
  <si>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</si>
  <si>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</si>
  <si>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</si>
  <si>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</si>
  <si>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</si>
  <si>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</si>
  <si>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</si>
  <si>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</si>
  <si>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</si>
  <si>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</si>
  <si>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</si>
  <si>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</si>
  <si>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</si>
  <si>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</si>
  <si>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</si>
  <si>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</si>
  <si>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</si>
  <si>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</si>
  <si>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</si>
  <si>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</si>
  <si>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</si>
  <si>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</si>
  <si>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</si>
  <si>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</si>
  <si>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</si>
  <si>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</si>
  <si>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</si>
  <si>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</si>
  <si>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</si>
  <si>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</si>
  <si>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</si>
  <si>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</si>
  <si>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</si>
  <si>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</si>
  <si>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</si>
  <si>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</si>
  <si>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</si>
  <si>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</si>
  <si>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</si>
  <si>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</si>
  <si>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</si>
  <si>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</si>
  <si>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</si>
  <si>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</si>
  <si>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</si>
  <si>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</si>
  <si>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</si>
  <si>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</si>
  <si>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</si>
  <si>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</si>
  <si>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</si>
  <si>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</si>
  <si>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</si>
  <si>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</si>
  <si>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</si>
  <si>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</si>
  <si>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</si>
  <si>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</si>
  <si>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</si>
  <si>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</si>
  <si>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</si>
  <si>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</si>
  <si>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</si>
  <si>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</si>
  <si>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</si>
  <si>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</si>
  <si>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</si>
  <si>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</si>
  <si>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</si>
  <si>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</si>
  <si>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</si>
  <si>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</si>
  <si>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</si>
  <si>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</si>
  <si>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</si>
  <si>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</si>
  <si>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</si>
  <si>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</si>
  <si>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</si>
  <si>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</si>
  <si>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</si>
  <si>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</si>
  <si>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</si>
  <si>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</si>
  <si>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</si>
  <si>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</si>
  <si>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</si>
  <si>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</si>
  <si>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</si>
  <si>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</si>
  <si>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</si>
  <si>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</si>
  <si>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</si>
  <si>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</si>
  <si>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</si>
  <si>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</si>
  <si>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</si>
  <si>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</si>
  <si>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</si>
  <si>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</si>
  <si>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</si>
  <si>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</si>
  <si>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</si>
  <si>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</si>
  <si>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</si>
  <si>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</si>
  <si>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</si>
  <si>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</si>
  <si>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</si>
  <si>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</si>
  <si>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</si>
  <si>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</si>
  <si>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</si>
  <si>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</si>
  <si>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</si>
  <si>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</si>
  <si>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</si>
  <si>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</si>
  <si>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</si>
  <si>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</si>
  <si>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</si>
  <si>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</si>
  <si>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</si>
  <si>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</si>
  <si>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</si>
  <si>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</si>
  <si>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</si>
  <si>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</si>
  <si>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</si>
  <si>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</si>
  <si>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</si>
  <si>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</si>
  <si>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</si>
  <si>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</si>
  <si>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</si>
  <si>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</si>
  <si>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</si>
  <si>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</si>
  <si>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</si>
  <si>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</si>
  <si>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</si>
  <si>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</si>
  <si>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</si>
  <si>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</si>
  <si>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</si>
  <si>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</si>
  <si>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</si>
  <si>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</si>
  <si>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</si>
  <si>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</si>
  <si>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</si>
  <si>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</si>
  <si>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</si>
  <si>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</si>
  <si>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</si>
  <si>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</si>
  <si>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</si>
  <si>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</si>
  <si>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</si>
  <si>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</si>
  <si>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</si>
  <si>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</si>
  <si>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</si>
  <si>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</si>
  <si>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</si>
  <si>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</si>
  <si>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</si>
  <si>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</si>
  <si>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</si>
  <si>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</si>
  <si>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</si>
  <si>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</si>
  <si>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</si>
  <si>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</si>
  <si>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</si>
  <si>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</si>
  <si>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</si>
  <si>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</si>
  <si>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</si>
  <si>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</si>
  <si>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</si>
  <si>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</si>
  <si>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</si>
  <si>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</si>
  <si>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</si>
  <si>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</si>
  <si>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</si>
  <si>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</si>
  <si>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</si>
  <si>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</si>
  <si>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</si>
  <si>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</si>
  <si>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</si>
  <si>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</si>
  <si>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</si>
  <si>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</si>
  <si>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</si>
  <si>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</si>
  <si>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</si>
  <si>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</si>
  <si>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</si>
  <si>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</si>
  <si>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</si>
  <si>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</si>
  <si>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</si>
  <si>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</si>
  <si>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</si>
  <si>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</si>
  <si>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</si>
  <si>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</si>
  <si>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</si>
  <si>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</si>
  <si>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</si>
  <si>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</si>
  <si>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</si>
  <si>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</si>
  <si>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</si>
  <si>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</si>
  <si>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</si>
  <si>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</si>
  <si>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</si>
  <si>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</si>
  <si>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</si>
  <si>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</si>
  <si>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</si>
  <si>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</si>
  <si>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</si>
  <si>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</si>
  <si>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</si>
  <si>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</si>
  <si>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</si>
  <si>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</si>
  <si>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</si>
  <si>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</si>
  <si>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</si>
  <si>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</si>
  <si>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</si>
  <si>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</si>
  <si>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</si>
  <si>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</si>
  <si>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</si>
  <si>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</si>
  <si>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</si>
  <si>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</si>
  <si>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</si>
  <si>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</si>
  <si>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</si>
  <si>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</si>
  <si>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</si>
  <si>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</si>
  <si>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</si>
  <si>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</si>
  <si>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</si>
  <si>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</si>
  <si>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</si>
  <si>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</si>
  <si>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</si>
  <si>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</si>
  <si>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</si>
  <si>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</si>
  <si>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</si>
  <si>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</si>
  <si>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</si>
  <si>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</si>
  <si>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</si>
  <si>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</si>
  <si>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</si>
  <si>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</si>
  <si>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</si>
  <si>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</si>
  <si>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</si>
  <si>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</si>
  <si>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</si>
  <si>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</si>
  <si>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</si>
  <si>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</si>
  <si>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</si>
  <si>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</si>
  <si>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</si>
  <si>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</si>
  <si>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</si>
  <si>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</si>
  <si>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</si>
  <si>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</si>
  <si>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</si>
  <si>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</si>
  <si>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</si>
  <si>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</si>
  <si>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</si>
  <si>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</si>
  <si>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</si>
  <si>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</si>
  <si>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</si>
  <si>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</si>
  <si>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</si>
  <si>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</si>
  <si>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</si>
  <si>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</si>
  <si>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</si>
  <si>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</si>
  <si>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</si>
  <si>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</si>
  <si>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</si>
  <si>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</si>
  <si>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</si>
  <si>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</si>
  <si>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</si>
  <si>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</si>
  <si>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</si>
  <si>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</si>
  <si>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</si>
  <si>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</si>
  <si>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</si>
  <si>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</si>
  <si>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</si>
  <si>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</si>
  <si>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</si>
  <si>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</si>
  <si>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</si>
  <si>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</si>
  <si>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</si>
  <si>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</si>
  <si>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</si>
  <si>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</si>
  <si>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</si>
  <si>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</si>
  <si>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</si>
  <si>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</si>
  <si>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</si>
  <si>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</si>
  <si>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</si>
  <si>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</si>
  <si>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</si>
  <si>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73042</t>
  </si>
  <si>
    <t>LANAKEN</t>
  </si>
  <si>
    <t>Paarden&amp;pony's 200 - 600 kg</t>
  </si>
  <si>
    <t>Paarden&amp;pony's &lt; 200 kg</t>
  </si>
  <si>
    <t>referentietaak LNE (2017); Jaarverslag De Lijn (2015)</t>
  </si>
  <si>
    <t>op basis van VEA (maart 2018) en Inventaris Hernieuwbare Energiebronnen (juni 2018)</t>
  </si>
  <si>
    <t>VEA (januari 2017)</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</si>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</sst>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214399.99614904929</c:v>
                </c:pt>
                <c:pt idx="1">
                  <c:v>169051.7770736377</c:v>
                </c:pt>
                <c:pt idx="2">
                  <c:v>1679.452</c:v>
                </c:pt>
                <c:pt idx="3">
                  <c:v>9062.3356340682985</c:v>
                </c:pt>
                <c:pt idx="4">
                  <c:v>88309.827713920793</c:v>
                </c:pt>
                <c:pt idx="5">
                  <c:v>144391.30409277687</c:v>
                </c:pt>
                <c:pt idx="6">
                  <c:v>2464.4087585621851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214399.99614904929</c:v>
                </c:pt>
                <c:pt idx="1">
                  <c:v>169051.7770736377</c:v>
                </c:pt>
                <c:pt idx="2">
                  <c:v>1679.452</c:v>
                </c:pt>
                <c:pt idx="3">
                  <c:v>9062.3356340682985</c:v>
                </c:pt>
                <c:pt idx="4">
                  <c:v>88309.827713920793</c:v>
                </c:pt>
                <c:pt idx="5">
                  <c:v>144391.30409277687</c:v>
                </c:pt>
                <c:pt idx="6">
                  <c:v>2464.4087585621851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41579.504098478814</c:v>
                </c:pt>
                <c:pt idx="1">
                  <c:v>33336.221107096637</c:v>
                </c:pt>
                <c:pt idx="2">
                  <c:v>292.76390102865486</c:v>
                </c:pt>
                <c:pt idx="3">
                  <c:v>2128.4821027766366</c:v>
                </c:pt>
                <c:pt idx="4">
                  <c:v>16442.011591771621</c:v>
                </c:pt>
                <c:pt idx="5">
                  <c:v>36889.847635284859</c:v>
                </c:pt>
                <c:pt idx="6">
                  <c:v>638.20155410097664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41579.504098478814</c:v>
                </c:pt>
                <c:pt idx="1">
                  <c:v>33336.221107096637</c:v>
                </c:pt>
                <c:pt idx="2">
                  <c:v>292.76390102865486</c:v>
                </c:pt>
                <c:pt idx="3">
                  <c:v>2128.4821027766366</c:v>
                </c:pt>
                <c:pt idx="4">
                  <c:v>16442.011591771621</c:v>
                </c:pt>
                <c:pt idx="5">
                  <c:v>36889.847635284859</c:v>
                </c:pt>
                <c:pt idx="6">
                  <c:v>638.20155410097664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10870</v>
      </c>
      <c r="C9" s="342">
        <v>11158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1555.86</v>
      </c>
    </row>
    <row r="15" spans="1:6">
      <c r="A15" s="348" t="s">
        <v>184</v>
      </c>
      <c r="B15" s="334">
        <v>5</v>
      </c>
    </row>
    <row r="16" spans="1:6">
      <c r="A16" s="348" t="s">
        <v>6</v>
      </c>
      <c r="B16" s="334">
        <v>184</v>
      </c>
    </row>
    <row r="17" spans="1:6">
      <c r="A17" s="348" t="s">
        <v>7</v>
      </c>
      <c r="B17" s="334">
        <v>272</v>
      </c>
    </row>
    <row r="18" spans="1:6">
      <c r="A18" s="348" t="s">
        <v>8</v>
      </c>
      <c r="B18" s="334">
        <v>288</v>
      </c>
    </row>
    <row r="19" spans="1:6">
      <c r="A19" s="348" t="s">
        <v>9</v>
      </c>
      <c r="B19" s="334">
        <v>283</v>
      </c>
    </row>
    <row r="20" spans="1:6">
      <c r="A20" s="348" t="s">
        <v>10</v>
      </c>
      <c r="B20" s="334">
        <v>263</v>
      </c>
    </row>
    <row r="21" spans="1:6">
      <c r="A21" s="348" t="s">
        <v>11</v>
      </c>
      <c r="B21" s="334">
        <v>1366</v>
      </c>
    </row>
    <row r="22" spans="1:6">
      <c r="A22" s="348" t="s">
        <v>12</v>
      </c>
      <c r="B22" s="334">
        <v>2927</v>
      </c>
    </row>
    <row r="23" spans="1:6">
      <c r="A23" s="348" t="s">
        <v>13</v>
      </c>
      <c r="B23" s="334">
        <v>59</v>
      </c>
    </row>
    <row r="24" spans="1:6">
      <c r="A24" s="348" t="s">
        <v>14</v>
      </c>
      <c r="B24" s="334">
        <v>3</v>
      </c>
    </row>
    <row r="25" spans="1:6">
      <c r="A25" s="348" t="s">
        <v>15</v>
      </c>
      <c r="B25" s="334">
        <v>284</v>
      </c>
    </row>
    <row r="26" spans="1:6">
      <c r="A26" s="348" t="s">
        <v>16</v>
      </c>
      <c r="B26" s="334">
        <v>87</v>
      </c>
    </row>
    <row r="27" spans="1:6">
      <c r="A27" s="348" t="s">
        <v>17</v>
      </c>
      <c r="B27" s="334">
        <v>26</v>
      </c>
    </row>
    <row r="28" spans="1:6" s="356" customFormat="1">
      <c r="A28" s="355" t="s">
        <v>18</v>
      </c>
      <c r="B28" s="355">
        <v>196734</v>
      </c>
    </row>
    <row r="29" spans="1:6">
      <c r="A29" s="355" t="s">
        <v>812</v>
      </c>
      <c r="B29" s="355">
        <v>206</v>
      </c>
      <c r="C29" s="356"/>
      <c r="D29" s="356"/>
      <c r="E29" s="356"/>
      <c r="F29" s="356"/>
    </row>
    <row r="30" spans="1:6">
      <c r="A30" s="355" t="s">
        <v>813</v>
      </c>
      <c r="B30" s="341">
        <v>44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20175</v>
      </c>
    </row>
    <row r="37" spans="1:6">
      <c r="A37" s="348" t="s">
        <v>25</v>
      </c>
      <c r="B37" s="348" t="s">
        <v>28</v>
      </c>
      <c r="C37" s="334">
        <v>0</v>
      </c>
      <c r="D37" s="334">
        <v>0</v>
      </c>
      <c r="E37" s="334">
        <v>0</v>
      </c>
      <c r="F37" s="334">
        <v>0</v>
      </c>
    </row>
    <row r="38" spans="1:6">
      <c r="A38" s="348" t="s">
        <v>25</v>
      </c>
      <c r="B38" s="348" t="s">
        <v>29</v>
      </c>
      <c r="C38" s="334">
        <v>0</v>
      </c>
      <c r="D38" s="334">
        <v>609363</v>
      </c>
      <c r="E38" s="334">
        <v>0</v>
      </c>
      <c r="F38" s="334">
        <v>31805</v>
      </c>
    </row>
    <row r="39" spans="1:6">
      <c r="A39" s="348" t="s">
        <v>30</v>
      </c>
      <c r="B39" s="348" t="s">
        <v>31</v>
      </c>
      <c r="C39" s="334">
        <v>7152</v>
      </c>
      <c r="D39" s="334">
        <v>127531728</v>
      </c>
      <c r="E39" s="334">
        <v>11154</v>
      </c>
      <c r="F39" s="334">
        <v>42246250</v>
      </c>
    </row>
    <row r="40" spans="1:6">
      <c r="A40" s="348" t="s">
        <v>30</v>
      </c>
      <c r="B40" s="348" t="s">
        <v>29</v>
      </c>
      <c r="C40" s="334">
        <v>0</v>
      </c>
      <c r="D40" s="334">
        <v>0</v>
      </c>
      <c r="E40" s="334">
        <v>0</v>
      </c>
      <c r="F40" s="334">
        <v>0</v>
      </c>
    </row>
    <row r="41" spans="1:6">
      <c r="A41" s="348" t="s">
        <v>32</v>
      </c>
      <c r="B41" s="348" t="s">
        <v>33</v>
      </c>
      <c r="C41" s="334">
        <v>64</v>
      </c>
      <c r="D41" s="334">
        <v>2484061</v>
      </c>
      <c r="E41" s="334">
        <v>153</v>
      </c>
      <c r="F41" s="334">
        <v>5844637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352350</v>
      </c>
      <c r="E44" s="334">
        <v>23</v>
      </c>
      <c r="F44" s="334">
        <v>264324</v>
      </c>
    </row>
    <row r="45" spans="1:6">
      <c r="A45" s="348" t="s">
        <v>32</v>
      </c>
      <c r="B45" s="348" t="s">
        <v>37</v>
      </c>
      <c r="C45" s="334">
        <v>8</v>
      </c>
      <c r="D45" s="334">
        <v>369758</v>
      </c>
      <c r="E45" s="334">
        <v>12</v>
      </c>
      <c r="F45" s="334">
        <v>12921353</v>
      </c>
    </row>
    <row r="46" spans="1:6">
      <c r="A46" s="348" t="s">
        <v>32</v>
      </c>
      <c r="B46" s="348" t="s">
        <v>38</v>
      </c>
      <c r="C46" s="334">
        <v>0</v>
      </c>
      <c r="D46" s="334">
        <v>0</v>
      </c>
      <c r="E46" s="334">
        <v>0</v>
      </c>
      <c r="F46" s="334">
        <v>0</v>
      </c>
    </row>
    <row r="47" spans="1:6">
      <c r="A47" s="348" t="s">
        <v>32</v>
      </c>
      <c r="B47" s="348" t="s">
        <v>39</v>
      </c>
      <c r="C47" s="334">
        <v>3</v>
      </c>
      <c r="D47" s="334">
        <v>119011</v>
      </c>
      <c r="E47" s="334">
        <v>3</v>
      </c>
      <c r="F47" s="334">
        <v>264342</v>
      </c>
    </row>
    <row r="48" spans="1:6">
      <c r="A48" s="348" t="s">
        <v>32</v>
      </c>
      <c r="B48" s="348" t="s">
        <v>29</v>
      </c>
      <c r="C48" s="334">
        <v>0</v>
      </c>
      <c r="D48" s="334">
        <v>30814870</v>
      </c>
      <c r="E48" s="334">
        <v>0</v>
      </c>
      <c r="F48" s="334">
        <v>16527316</v>
      </c>
    </row>
    <row r="49" spans="1:6">
      <c r="A49" s="348" t="s">
        <v>32</v>
      </c>
      <c r="B49" s="348" t="s">
        <v>40</v>
      </c>
      <c r="C49" s="334">
        <v>4</v>
      </c>
      <c r="D49" s="334">
        <v>489801</v>
      </c>
      <c r="E49" s="334">
        <v>4</v>
      </c>
      <c r="F49" s="334">
        <v>125148</v>
      </c>
    </row>
    <row r="50" spans="1:6">
      <c r="A50" s="348" t="s">
        <v>32</v>
      </c>
      <c r="B50" s="348" t="s">
        <v>41</v>
      </c>
      <c r="C50" s="334">
        <v>10</v>
      </c>
      <c r="D50" s="334">
        <v>748489</v>
      </c>
      <c r="E50" s="334">
        <v>12</v>
      </c>
      <c r="F50" s="334">
        <v>669626</v>
      </c>
    </row>
    <row r="51" spans="1:6">
      <c r="A51" s="348" t="s">
        <v>42</v>
      </c>
      <c r="B51" s="348" t="s">
        <v>43</v>
      </c>
      <c r="C51" s="334">
        <v>17</v>
      </c>
      <c r="D51" s="334">
        <v>3191434</v>
      </c>
      <c r="E51" s="334">
        <v>53</v>
      </c>
      <c r="F51" s="334">
        <v>1281604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100</v>
      </c>
      <c r="F54" s="334">
        <v>1679452</v>
      </c>
    </row>
    <row r="55" spans="1:6">
      <c r="A55" s="348" t="s">
        <v>46</v>
      </c>
      <c r="B55" s="348" t="s">
        <v>29</v>
      </c>
      <c r="C55" s="334">
        <v>0</v>
      </c>
      <c r="D55" s="334">
        <v>0</v>
      </c>
      <c r="E55" s="334">
        <v>0</v>
      </c>
      <c r="F55" s="334">
        <v>0</v>
      </c>
    </row>
    <row r="56" spans="1:6">
      <c r="A56" s="348" t="s">
        <v>48</v>
      </c>
      <c r="B56" s="348" t="s">
        <v>29</v>
      </c>
      <c r="C56" s="334">
        <v>111</v>
      </c>
      <c r="D56" s="334">
        <v>3268645</v>
      </c>
      <c r="E56" s="334">
        <v>327</v>
      </c>
      <c r="F56" s="334">
        <v>1862310</v>
      </c>
    </row>
    <row r="57" spans="1:6">
      <c r="A57" s="348" t="s">
        <v>49</v>
      </c>
      <c r="B57" s="348" t="s">
        <v>50</v>
      </c>
      <c r="C57" s="334">
        <v>51</v>
      </c>
      <c r="D57" s="334">
        <v>2963576</v>
      </c>
      <c r="E57" s="334">
        <v>121</v>
      </c>
      <c r="F57" s="334">
        <v>3004376</v>
      </c>
    </row>
    <row r="58" spans="1:6">
      <c r="A58" s="348" t="s">
        <v>49</v>
      </c>
      <c r="B58" s="348" t="s">
        <v>51</v>
      </c>
      <c r="C58" s="334">
        <v>27</v>
      </c>
      <c r="D58" s="334">
        <v>12209716</v>
      </c>
      <c r="E58" s="334">
        <v>35</v>
      </c>
      <c r="F58" s="334">
        <v>5445032</v>
      </c>
    </row>
    <row r="59" spans="1:6">
      <c r="A59" s="348" t="s">
        <v>49</v>
      </c>
      <c r="B59" s="348" t="s">
        <v>52</v>
      </c>
      <c r="C59" s="334">
        <v>149</v>
      </c>
      <c r="D59" s="334">
        <v>102293835</v>
      </c>
      <c r="E59" s="334">
        <v>281</v>
      </c>
      <c r="F59" s="334">
        <v>9510361</v>
      </c>
    </row>
    <row r="60" spans="1:6">
      <c r="A60" s="348" t="s">
        <v>49</v>
      </c>
      <c r="B60" s="348" t="s">
        <v>53</v>
      </c>
      <c r="C60" s="334">
        <v>75</v>
      </c>
      <c r="D60" s="334">
        <v>5272872</v>
      </c>
      <c r="E60" s="334">
        <v>101</v>
      </c>
      <c r="F60" s="334">
        <v>5254402</v>
      </c>
    </row>
    <row r="61" spans="1:6">
      <c r="A61" s="348" t="s">
        <v>49</v>
      </c>
      <c r="B61" s="348" t="s">
        <v>54</v>
      </c>
      <c r="C61" s="334">
        <v>216</v>
      </c>
      <c r="D61" s="334">
        <v>15178937</v>
      </c>
      <c r="E61" s="334">
        <v>469</v>
      </c>
      <c r="F61" s="334">
        <v>6794741</v>
      </c>
    </row>
    <row r="62" spans="1:6">
      <c r="A62" s="348" t="s">
        <v>49</v>
      </c>
      <c r="B62" s="348" t="s">
        <v>55</v>
      </c>
      <c r="C62" s="334">
        <v>13</v>
      </c>
      <c r="D62" s="334">
        <v>2974880</v>
      </c>
      <c r="E62" s="334">
        <v>19</v>
      </c>
      <c r="F62" s="334">
        <v>880425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571982</v>
      </c>
      <c r="E68" s="334">
        <v>25</v>
      </c>
      <c r="F68" s="334">
        <v>756006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144100286</v>
      </c>
      <c r="E73" s="476">
        <v>147481996.57861018</v>
      </c>
    </row>
    <row r="74" spans="1:6">
      <c r="A74" s="348" t="s">
        <v>64</v>
      </c>
      <c r="B74" s="348" t="s">
        <v>667</v>
      </c>
      <c r="C74" s="1212" t="s">
        <v>669</v>
      </c>
      <c r="D74" s="476">
        <v>8826516.7024757415</v>
      </c>
      <c r="E74" s="476">
        <v>9040163.7490421999</v>
      </c>
    </row>
    <row r="75" spans="1:6">
      <c r="A75" s="348" t="s">
        <v>65</v>
      </c>
      <c r="B75" s="348" t="s">
        <v>666</v>
      </c>
      <c r="C75" s="1212" t="s">
        <v>670</v>
      </c>
      <c r="D75" s="476">
        <v>37809365</v>
      </c>
      <c r="E75" s="476">
        <v>38774211.826492578</v>
      </c>
    </row>
    <row r="76" spans="1:6">
      <c r="A76" s="348" t="s">
        <v>65</v>
      </c>
      <c r="B76" s="348" t="s">
        <v>667</v>
      </c>
      <c r="C76" s="1212" t="s">
        <v>671</v>
      </c>
      <c r="D76" s="476">
        <v>499171.70247574145</v>
      </c>
      <c r="E76" s="476">
        <v>518100.35034252756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661906.59504851711</v>
      </c>
      <c r="C83" s="476">
        <v>661906.59504851711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14109.921400638708</v>
      </c>
    </row>
    <row r="91" spans="1:6">
      <c r="A91" s="348" t="s">
        <v>68</v>
      </c>
      <c r="B91" s="334">
        <v>6317.5681840752923</v>
      </c>
    </row>
    <row r="92" spans="1:6">
      <c r="A92" s="341" t="s">
        <v>69</v>
      </c>
      <c r="B92" s="342">
        <v>4729.9431463070705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2</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119098.33502629316</v>
      </c>
      <c r="C3" s="43" t="s">
        <v>170</v>
      </c>
      <c r="D3" s="43"/>
      <c r="E3" s="154"/>
      <c r="F3" s="43"/>
      <c r="G3" s="43"/>
      <c r="H3" s="43"/>
      <c r="I3" s="43"/>
      <c r="J3" s="43"/>
      <c r="K3" s="96"/>
    </row>
    <row r="4" spans="1:11">
      <c r="A4" s="383" t="s">
        <v>171</v>
      </c>
      <c r="B4" s="49">
        <f>IF(ISERROR('SEAP template'!B69),0,'SEAP template'!B69)</f>
        <v>25182.182731021072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0.17432108868169788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1679.452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1679.452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0.17432108868169788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292.76390102865486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42246.25</v>
      </c>
      <c r="C5" s="17">
        <f>IF(ISERROR('Eigen informatie GS &amp; warmtenet'!B57),0,'Eigen informatie GS &amp; warmtenet'!B57)</f>
        <v>0</v>
      </c>
      <c r="D5" s="30">
        <f>(SUM(HH_hh_gas_kWh,HH_rest_gas_kWh)/1000)*0.902</f>
        <v>115033.61865600001</v>
      </c>
      <c r="E5" s="17">
        <f>B46*B57</f>
        <v>4311.6666563482249</v>
      </c>
      <c r="F5" s="17">
        <f>B51*B62</f>
        <v>33326.843230665632</v>
      </c>
      <c r="G5" s="18"/>
      <c r="H5" s="17"/>
      <c r="I5" s="17"/>
      <c r="J5" s="17">
        <f>B50*B61+C50*C61</f>
        <v>0</v>
      </c>
      <c r="K5" s="17"/>
      <c r="L5" s="17"/>
      <c r="M5" s="17"/>
      <c r="N5" s="17">
        <f>B48*B59+C48*C59</f>
        <v>11967.112755293498</v>
      </c>
      <c r="O5" s="17">
        <f>B69*B70*B71</f>
        <v>358.00333333333339</v>
      </c>
      <c r="P5" s="17">
        <f>B77*B78*B79/1000-B77*B78*B79/1000/B80</f>
        <v>838.93333333333339</v>
      </c>
    </row>
    <row r="6" spans="1:16">
      <c r="A6" s="16" t="s">
        <v>624</v>
      </c>
      <c r="B6" s="843">
        <f>kWh_PV_kleiner_dan_10kW</f>
        <v>6317.5681840752923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48563.818184075295</v>
      </c>
      <c r="C8" s="21">
        <f>C5</f>
        <v>0</v>
      </c>
      <c r="D8" s="21">
        <f>D5</f>
        <v>115033.61865600001</v>
      </c>
      <c r="E8" s="21">
        <f>E5</f>
        <v>4311.6666563482249</v>
      </c>
      <c r="F8" s="21">
        <f>F5</f>
        <v>33326.843230665632</v>
      </c>
      <c r="G8" s="21"/>
      <c r="H8" s="21"/>
      <c r="I8" s="21"/>
      <c r="J8" s="21">
        <f>J5</f>
        <v>0</v>
      </c>
      <c r="K8" s="21"/>
      <c r="L8" s="21">
        <f>L5</f>
        <v>0</v>
      </c>
      <c r="M8" s="21">
        <f>M5</f>
        <v>0</v>
      </c>
      <c r="N8" s="21">
        <f>N5</f>
        <v>11967.112755293498</v>
      </c>
      <c r="O8" s="21">
        <f>O5</f>
        <v>358.00333333333339</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0.17432108868169788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8465.6976563880417</v>
      </c>
      <c r="C12" s="23">
        <f ca="1">C10*C8</f>
        <v>0</v>
      </c>
      <c r="D12" s="23">
        <f>D8*D10</f>
        <v>23236.790968512003</v>
      </c>
      <c r="E12" s="23">
        <f>E10*E8</f>
        <v>978.74833099104706</v>
      </c>
      <c r="F12" s="23">
        <f>F10*F8</f>
        <v>8898.2671425877252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10870</v>
      </c>
      <c r="C28" s="36"/>
      <c r="D28" s="228"/>
    </row>
    <row r="29" spans="1:7" s="15" customFormat="1">
      <c r="A29" s="230" t="s">
        <v>699</v>
      </c>
      <c r="B29" s="37">
        <f>SUM(HH_hh_gas_aantal,HH_rest_gas_aantal)</f>
        <v>7152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7152</v>
      </c>
      <c r="C32" s="167">
        <f>IF(ISERROR(B32/SUM($B$32,$B$34,$B$35,$B$36,$B$38,$B$39)*100),0,B32/SUM($B$32,$B$34,$B$35,$B$36,$B$38,$B$39)*100)</f>
        <v>66.063181230371328</v>
      </c>
      <c r="D32" s="233"/>
      <c r="G32" s="15"/>
    </row>
    <row r="33" spans="1:7">
      <c r="A33" s="171" t="s">
        <v>72</v>
      </c>
      <c r="B33" s="34" t="s">
        <v>111</v>
      </c>
      <c r="C33" s="167"/>
      <c r="D33" s="233"/>
      <c r="G33" s="15"/>
    </row>
    <row r="34" spans="1:7">
      <c r="A34" s="171" t="s">
        <v>73</v>
      </c>
      <c r="B34" s="33">
        <f>IF((($B$28-$B$32-$B$39-$B$77-$B$38)*C20/100)&lt;0,0,($B$28-$B$32-$B$39-$B$77-$B$38)*C20/100)</f>
        <v>190.63082706766917</v>
      </c>
      <c r="C34" s="167">
        <f>IF(ISERROR(B34/SUM($B$32,$B$34,$B$35,$B$36,$B$38,$B$39)*100),0,B34/SUM($B$32,$B$34,$B$35,$B$36,$B$38,$B$39)*100)</f>
        <v>1.7608611404735746</v>
      </c>
      <c r="D34" s="233"/>
      <c r="G34" s="15"/>
    </row>
    <row r="35" spans="1:7">
      <c r="A35" s="171" t="s">
        <v>74</v>
      </c>
      <c r="B35" s="33">
        <f>IF((($B$28-$B$32-$B$39-$B$77-$B$38)*C21/100)&lt;0,0,($B$28-$B$32-$B$39-$B$77-$B$38)*C21/100)</f>
        <v>1927.9708646616541</v>
      </c>
      <c r="C35" s="167">
        <f>IF(ISERROR(B35/SUM($B$32,$B$34,$B$35,$B$36,$B$38,$B$39)*100),0,B35/SUM($B$32,$B$34,$B$35,$B$36,$B$38,$B$39)*100)</f>
        <v>17.808709261607742</v>
      </c>
      <c r="D35" s="233"/>
      <c r="G35" s="15"/>
    </row>
    <row r="36" spans="1:7">
      <c r="A36" s="171" t="s">
        <v>75</v>
      </c>
      <c r="B36" s="33">
        <f>IF((($B$28-$B$32-$B$39-$B$77-$B$38)*C22/100)&lt;0,0,($B$28-$B$32-$B$39-$B$77-$B$38)*C22/100)</f>
        <v>186.29830827067667</v>
      </c>
      <c r="C36" s="167">
        <f>IF(ISERROR(B36/SUM($B$32,$B$34,$B$35,$B$36,$B$38,$B$39)*100),0,B36/SUM($B$32,$B$34,$B$35,$B$36,$B$38,$B$39)*100)</f>
        <v>1.7208415690991747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1369.1</v>
      </c>
      <c r="C39" s="167">
        <f>IF(ISERROR(B39/SUM($B$32,$B$34,$B$35,$B$36,$B$38,$B$39)*100),0,B39/SUM($B$32,$B$34,$B$35,$B$36,$B$38,$B$39)*100)</f>
        <v>12.646406798448179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7152</v>
      </c>
      <c r="C44" s="34" t="s">
        <v>111</v>
      </c>
      <c r="D44" s="174"/>
    </row>
    <row r="45" spans="1:7">
      <c r="A45" s="171" t="s">
        <v>72</v>
      </c>
      <c r="B45" s="33" t="str">
        <f t="shared" si="0"/>
        <v>-</v>
      </c>
      <c r="C45" s="34" t="s">
        <v>111</v>
      </c>
      <c r="D45" s="174"/>
    </row>
    <row r="46" spans="1:7">
      <c r="A46" s="171" t="s">
        <v>73</v>
      </c>
      <c r="B46" s="33">
        <f t="shared" si="0"/>
        <v>190.63082706766917</v>
      </c>
      <c r="C46" s="34" t="s">
        <v>111</v>
      </c>
      <c r="D46" s="174"/>
    </row>
    <row r="47" spans="1:7">
      <c r="A47" s="171" t="s">
        <v>74</v>
      </c>
      <c r="B47" s="33">
        <f t="shared" si="0"/>
        <v>1927.9708646616541</v>
      </c>
      <c r="C47" s="34" t="s">
        <v>111</v>
      </c>
      <c r="D47" s="174"/>
    </row>
    <row r="48" spans="1:7">
      <c r="A48" s="171" t="s">
        <v>75</v>
      </c>
      <c r="B48" s="33">
        <f t="shared" si="0"/>
        <v>186.29830827067667</v>
      </c>
      <c r="C48" s="33">
        <f>B48*10</f>
        <v>1862.9830827067667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30889.337</v>
      </c>
      <c r="C5" s="17">
        <f>IF(ISERROR('Eigen informatie GS &amp; warmtenet'!B58),0,'Eigen informatie GS &amp; warmtenet'!B58)</f>
        <v>0</v>
      </c>
      <c r="D5" s="30">
        <f>SUM(D6:D12)</f>
        <v>127086.22203200001</v>
      </c>
      <c r="E5" s="17">
        <f>SUM(E6:E12)</f>
        <v>569.76729947049921</v>
      </c>
      <c r="F5" s="17">
        <f>SUM(F6:F12)</f>
        <v>8061.3166401422659</v>
      </c>
      <c r="G5" s="18"/>
      <c r="H5" s="17"/>
      <c r="I5" s="17"/>
      <c r="J5" s="17">
        <f>SUM(J6:J12)</f>
        <v>0</v>
      </c>
      <c r="K5" s="17"/>
      <c r="L5" s="17"/>
      <c r="M5" s="17"/>
      <c r="N5" s="17">
        <f>SUM(N6:N12)</f>
        <v>2452.6145782154122</v>
      </c>
      <c r="O5" s="17">
        <f>B38*B39*B40</f>
        <v>3.1266666666666669</v>
      </c>
      <c r="P5" s="17">
        <f>B46*B47*B48/1000-B46*B47*B48/1000/B49</f>
        <v>0</v>
      </c>
      <c r="R5" s="32"/>
    </row>
    <row r="6" spans="1:18">
      <c r="A6" s="32" t="s">
        <v>54</v>
      </c>
      <c r="B6" s="37">
        <f>B26</f>
        <v>6794.741</v>
      </c>
      <c r="C6" s="33"/>
      <c r="D6" s="37">
        <f>IF(ISERROR(TER_kantoor_gas_kWh/1000),0,TER_kantoor_gas_kWh/1000)*0.902</f>
        <v>13691.401174000001</v>
      </c>
      <c r="E6" s="33">
        <f>$C$26*'E Balans VL '!I12/100/3.6*1000000</f>
        <v>88.951529597241773</v>
      </c>
      <c r="F6" s="33">
        <f>$C$26*('E Balans VL '!L12+'E Balans VL '!N12)/100/3.6*1000000</f>
        <v>1732.5887407693517</v>
      </c>
      <c r="G6" s="34"/>
      <c r="H6" s="33"/>
      <c r="I6" s="33"/>
      <c r="J6" s="33">
        <f>$C$26*('E Balans VL '!D12+'E Balans VL '!E12)/100/3.6*1000000</f>
        <v>0</v>
      </c>
      <c r="K6" s="33"/>
      <c r="L6" s="33"/>
      <c r="M6" s="33"/>
      <c r="N6" s="33">
        <f>$C$26*'E Balans VL '!Y12/100/3.6*1000000</f>
        <v>6.8176219263720839</v>
      </c>
      <c r="O6" s="33"/>
      <c r="P6" s="33"/>
      <c r="R6" s="32"/>
    </row>
    <row r="7" spans="1:18">
      <c r="A7" s="32" t="s">
        <v>53</v>
      </c>
      <c r="B7" s="37">
        <f t="shared" ref="B7:B12" si="0">B27</f>
        <v>5254.402</v>
      </c>
      <c r="C7" s="33"/>
      <c r="D7" s="37">
        <f>IF(ISERROR(TER_horeca_gas_kWh/1000),0,TER_horeca_gas_kWh/1000)*0.902</f>
        <v>4756.1305440000006</v>
      </c>
      <c r="E7" s="33">
        <f>$C$27*'E Balans VL '!I9/100/3.6*1000000</f>
        <v>173.88874474481108</v>
      </c>
      <c r="F7" s="33">
        <f>$C$27*('E Balans VL '!L9+'E Balans VL '!N9)/100/3.6*1000000</f>
        <v>2259.3727226923393</v>
      </c>
      <c r="G7" s="34"/>
      <c r="H7" s="33"/>
      <c r="I7" s="33"/>
      <c r="J7" s="33">
        <f>$C$27*('E Balans VL '!D9+'E Balans VL '!E9)/100/3.6*1000000</f>
        <v>0</v>
      </c>
      <c r="K7" s="33"/>
      <c r="L7" s="33"/>
      <c r="M7" s="33"/>
      <c r="N7" s="33">
        <f>$C$27*'E Balans VL '!Y9/100/3.6*1000000</f>
        <v>1.2648108636905206</v>
      </c>
      <c r="O7" s="33"/>
      <c r="P7" s="33"/>
      <c r="R7" s="32"/>
    </row>
    <row r="8" spans="1:18">
      <c r="A8" s="6" t="s">
        <v>52</v>
      </c>
      <c r="B8" s="37">
        <f t="shared" si="0"/>
        <v>9510.3610000000008</v>
      </c>
      <c r="C8" s="33"/>
      <c r="D8" s="37">
        <f>IF(ISERROR(TER_handel_gas_kWh/1000),0,TER_handel_gas_kWh/1000)*0.902</f>
        <v>92269.039170000004</v>
      </c>
      <c r="E8" s="33">
        <f>$C$28*'E Balans VL '!I13/100/3.6*1000000</f>
        <v>300.16152455905797</v>
      </c>
      <c r="F8" s="33">
        <f>$C$28*('E Balans VL '!L13+'E Balans VL '!N13)/100/3.6*1000000</f>
        <v>1865.1492591599335</v>
      </c>
      <c r="G8" s="34"/>
      <c r="H8" s="33"/>
      <c r="I8" s="33"/>
      <c r="J8" s="33">
        <f>$C$28*('E Balans VL '!D13+'E Balans VL '!E13)/100/3.6*1000000</f>
        <v>0</v>
      </c>
      <c r="K8" s="33"/>
      <c r="L8" s="33"/>
      <c r="M8" s="33"/>
      <c r="N8" s="33">
        <f>$C$28*'E Balans VL '!Y13/100/3.6*1000000</f>
        <v>11.286952093079291</v>
      </c>
      <c r="O8" s="33"/>
      <c r="P8" s="33"/>
      <c r="R8" s="32"/>
    </row>
    <row r="9" spans="1:18">
      <c r="A9" s="32" t="s">
        <v>51</v>
      </c>
      <c r="B9" s="37">
        <f t="shared" si="0"/>
        <v>5445.0320000000002</v>
      </c>
      <c r="C9" s="33"/>
      <c r="D9" s="37">
        <f>IF(ISERROR(TER_gezond_gas_kWh/1000),0,TER_gezond_gas_kWh/1000)*0.902</f>
        <v>11013.163832</v>
      </c>
      <c r="E9" s="33">
        <f>$C$29*'E Balans VL '!I10/100/3.6*1000000</f>
        <v>0.69712338687679398</v>
      </c>
      <c r="F9" s="33">
        <f>$C$29*('E Balans VL '!L10+'E Balans VL '!N10)/100/3.6*1000000</f>
        <v>1134.4283878061749</v>
      </c>
      <c r="G9" s="34"/>
      <c r="H9" s="33"/>
      <c r="I9" s="33"/>
      <c r="J9" s="33">
        <f>$C$29*('E Balans VL '!D10+'E Balans VL '!E10)/100/3.6*1000000</f>
        <v>0</v>
      </c>
      <c r="K9" s="33"/>
      <c r="L9" s="33"/>
      <c r="M9" s="33"/>
      <c r="N9" s="33">
        <f>$C$29*'E Balans VL '!Y10/100/3.6*1000000</f>
        <v>63.954474500471591</v>
      </c>
      <c r="O9" s="33"/>
      <c r="P9" s="33"/>
      <c r="R9" s="32"/>
    </row>
    <row r="10" spans="1:18">
      <c r="A10" s="32" t="s">
        <v>50</v>
      </c>
      <c r="B10" s="37">
        <f t="shared" si="0"/>
        <v>3004.3760000000002</v>
      </c>
      <c r="C10" s="33"/>
      <c r="D10" s="37">
        <f>IF(ISERROR(TER_ander_gas_kWh/1000),0,TER_ander_gas_kWh/1000)*0.902</f>
        <v>2673.145552</v>
      </c>
      <c r="E10" s="33">
        <f>$C$30*'E Balans VL '!I14/100/3.6*1000000</f>
        <v>4.5178749781516263</v>
      </c>
      <c r="F10" s="33">
        <f>$C$30*('E Balans VL '!L14+'E Balans VL '!N14)/100/3.6*1000000</f>
        <v>663.26937595044126</v>
      </c>
      <c r="G10" s="34"/>
      <c r="H10" s="33"/>
      <c r="I10" s="33"/>
      <c r="J10" s="33">
        <f>$C$30*('E Balans VL '!D14+'E Balans VL '!E14)/100/3.6*1000000</f>
        <v>0</v>
      </c>
      <c r="K10" s="33"/>
      <c r="L10" s="33"/>
      <c r="M10" s="33"/>
      <c r="N10" s="33">
        <f>$C$30*'E Balans VL '!Y14/100/3.6*1000000</f>
        <v>2367.650474881596</v>
      </c>
      <c r="O10" s="33"/>
      <c r="P10" s="33"/>
      <c r="R10" s="32"/>
    </row>
    <row r="11" spans="1:18">
      <c r="A11" s="32" t="s">
        <v>55</v>
      </c>
      <c r="B11" s="37">
        <f t="shared" si="0"/>
        <v>880.42499999999995</v>
      </c>
      <c r="C11" s="33"/>
      <c r="D11" s="37">
        <f>IF(ISERROR(TER_onderwijs_gas_kWh/1000),0,TER_onderwijs_gas_kWh/1000)*0.902</f>
        <v>2683.3417600000002</v>
      </c>
      <c r="E11" s="33">
        <f>$C$31*'E Balans VL '!I11/100/3.6*1000000</f>
        <v>1.5505022043599714</v>
      </c>
      <c r="F11" s="33">
        <f>$C$31*('E Balans VL '!L11+'E Balans VL '!N11)/100/3.6*1000000</f>
        <v>406.50815376402579</v>
      </c>
      <c r="G11" s="34"/>
      <c r="H11" s="33"/>
      <c r="I11" s="33"/>
      <c r="J11" s="33">
        <f>$C$31*('E Balans VL '!D11+'E Balans VL '!E11)/100/3.6*1000000</f>
        <v>0</v>
      </c>
      <c r="K11" s="33"/>
      <c r="L11" s="33"/>
      <c r="M11" s="33"/>
      <c r="N11" s="33">
        <f>$C$31*'E Balans VL '!Y11/100/3.6*1000000</f>
        <v>1.6402439502024964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30914.087</v>
      </c>
      <c r="C16" s="21">
        <f t="shared" ca="1" si="1"/>
        <v>35.357142857142861</v>
      </c>
      <c r="D16" s="21">
        <f t="shared" ca="1" si="1"/>
        <v>127015.50774628572</v>
      </c>
      <c r="E16" s="21">
        <f t="shared" si="1"/>
        <v>569.76729947049921</v>
      </c>
      <c r="F16" s="21">
        <f t="shared" ca="1" si="1"/>
        <v>8061.3166401422659</v>
      </c>
      <c r="G16" s="21">
        <f t="shared" si="1"/>
        <v>0</v>
      </c>
      <c r="H16" s="21">
        <f t="shared" si="1"/>
        <v>0</v>
      </c>
      <c r="I16" s="21">
        <f t="shared" si="1"/>
        <v>0</v>
      </c>
      <c r="J16" s="21">
        <f t="shared" si="1"/>
        <v>0</v>
      </c>
      <c r="K16" s="21">
        <f t="shared" si="1"/>
        <v>0</v>
      </c>
      <c r="L16" s="21">
        <f t="shared" ca="1" si="1"/>
        <v>0</v>
      </c>
      <c r="M16" s="21">
        <f t="shared" si="1"/>
        <v>0</v>
      </c>
      <c r="N16" s="21">
        <f t="shared" ca="1" si="1"/>
        <v>2452.6145782154122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0.17432108868169788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5388.9773014407237</v>
      </c>
      <c r="C20" s="23">
        <f t="shared" ref="C20:P20" ca="1" si="2">C16*C18</f>
        <v>8.4025210084033635</v>
      </c>
      <c r="D20" s="23">
        <f t="shared" ca="1" si="2"/>
        <v>25657.132564749718</v>
      </c>
      <c r="E20" s="23">
        <f t="shared" si="2"/>
        <v>129.33717697980333</v>
      </c>
      <c r="F20" s="23">
        <f t="shared" ca="1" si="2"/>
        <v>2152.3715429179852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6794.741</v>
      </c>
      <c r="C26" s="39">
        <f>IF(ISERROR(B26*3.6/1000000/'E Balans VL '!Z12*100),0,B26*3.6/1000000/'E Balans VL '!Z12*100)</f>
        <v>0.14554863084873559</v>
      </c>
      <c r="D26" s="237" t="s">
        <v>660</v>
      </c>
      <c r="F26" s="6"/>
    </row>
    <row r="27" spans="1:18">
      <c r="A27" s="231" t="s">
        <v>53</v>
      </c>
      <c r="B27" s="33">
        <f>IF(ISERROR(TER_horeca_ele_kWh/1000),0,TER_horeca_ele_kWh/1000)</f>
        <v>5254.402</v>
      </c>
      <c r="C27" s="39">
        <f>IF(ISERROR(B27*3.6/1000000/'E Balans VL '!Z9*100),0,B27*3.6/1000000/'E Balans VL '!Z9*100)</f>
        <v>0.42164749638507282</v>
      </c>
      <c r="D27" s="237" t="s">
        <v>660</v>
      </c>
      <c r="F27" s="6"/>
    </row>
    <row r="28" spans="1:18">
      <c r="A28" s="171" t="s">
        <v>52</v>
      </c>
      <c r="B28" s="33">
        <f>IF(ISERROR(TER_handel_ele_kWh/1000),0,TER_handel_ele_kWh/1000)</f>
        <v>9510.3610000000008</v>
      </c>
      <c r="C28" s="39">
        <f>IF(ISERROR(B28*3.6/1000000/'E Balans VL '!Z13*100),0,B28*3.6/1000000/'E Balans VL '!Z13*100)</f>
        <v>0.28050110024509711</v>
      </c>
      <c r="D28" s="237" t="s">
        <v>660</v>
      </c>
      <c r="F28" s="6"/>
    </row>
    <row r="29" spans="1:18">
      <c r="A29" s="231" t="s">
        <v>51</v>
      </c>
      <c r="B29" s="33">
        <f>IF(ISERROR(TER_gezond_ele_kWh/1000),0,TER_gezond_ele_kWh/1000)</f>
        <v>5445.0320000000002</v>
      </c>
      <c r="C29" s="39">
        <f>IF(ISERROR(B29*3.6/1000000/'E Balans VL '!Z10*100),0,B29*3.6/1000000/'E Balans VL '!Z10*100)</f>
        <v>0.58138343081762067</v>
      </c>
      <c r="D29" s="237" t="s">
        <v>660</v>
      </c>
      <c r="F29" s="6"/>
    </row>
    <row r="30" spans="1:18">
      <c r="A30" s="231" t="s">
        <v>50</v>
      </c>
      <c r="B30" s="33">
        <f>IF(ISERROR(TER_ander_ele_kWh/1000),0,TER_ander_ele_kWh/1000)</f>
        <v>3004.3760000000002</v>
      </c>
      <c r="C30" s="39">
        <f>IF(ISERROR(B30*3.6/1000000/'E Balans VL '!Z14*100),0,B30*3.6/1000000/'E Balans VL '!Z14*100)</f>
        <v>0.22693231698867172</v>
      </c>
      <c r="D30" s="237" t="s">
        <v>660</v>
      </c>
      <c r="F30" s="6"/>
    </row>
    <row r="31" spans="1:18">
      <c r="A31" s="231" t="s">
        <v>55</v>
      </c>
      <c r="B31" s="33">
        <f>IF(ISERROR(TER_onderwijs_ele_kWh/1000),0,TER_onderwijs_ele_kWh/1000)</f>
        <v>880.42499999999995</v>
      </c>
      <c r="C31" s="39">
        <f>IF(ISERROR(B31*3.6/1000000/'E Balans VL '!Z11*100),0,B31*3.6/1000000/'E Balans VL '!Z11*100)</f>
        <v>0.17778719835706749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36616.745999999999</v>
      </c>
      <c r="C5" s="17">
        <f>IF(ISERROR('Eigen informatie GS &amp; warmtenet'!B59),0,'Eigen informatie GS &amp; warmtenet'!B59)</f>
        <v>0</v>
      </c>
      <c r="D5" s="30">
        <f>SUM(D6:D15)</f>
        <v>31911.26268</v>
      </c>
      <c r="E5" s="17">
        <f>SUM(E6:E15)</f>
        <v>2690.9619343150439</v>
      </c>
      <c r="F5" s="17">
        <f>SUM(F6:F15)</f>
        <v>11022.43930515094</v>
      </c>
      <c r="G5" s="18"/>
      <c r="H5" s="17"/>
      <c r="I5" s="17"/>
      <c r="J5" s="17">
        <f>SUM(J6:J15)</f>
        <v>166.73968967683373</v>
      </c>
      <c r="K5" s="17"/>
      <c r="L5" s="17"/>
      <c r="M5" s="17"/>
      <c r="N5" s="17">
        <f>SUM(N6:N15)</f>
        <v>5901.6781047779732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264.32400000000001</v>
      </c>
      <c r="C8" s="33"/>
      <c r="D8" s="37">
        <f>IF( ISERROR(IND_metaal_Gas_kWH/1000),0,IND_metaal_Gas_kWH/1000)*0.902</f>
        <v>317.81970000000001</v>
      </c>
      <c r="E8" s="33">
        <f>C30*'E Balans VL '!I18/100/3.6*1000000</f>
        <v>9.5111771543056154</v>
      </c>
      <c r="F8" s="33">
        <f>C30*'E Balans VL '!L18/100/3.6*1000000+C30*'E Balans VL '!N18/100/3.6*1000000</f>
        <v>115.42172233779972</v>
      </c>
      <c r="G8" s="34"/>
      <c r="H8" s="33"/>
      <c r="I8" s="33"/>
      <c r="J8" s="40">
        <f>C30*'E Balans VL '!D18/100/3.6*1000000+C30*'E Balans VL '!E18/100/3.6*1000000</f>
        <v>0</v>
      </c>
      <c r="K8" s="33"/>
      <c r="L8" s="33"/>
      <c r="M8" s="33"/>
      <c r="N8" s="33">
        <f>C30*'E Balans VL '!Y18/100/3.6*1000000</f>
        <v>13.247739252808774</v>
      </c>
      <c r="O8" s="33"/>
      <c r="P8" s="33"/>
      <c r="R8" s="32"/>
    </row>
    <row r="9" spans="1:18">
      <c r="A9" s="6" t="s">
        <v>33</v>
      </c>
      <c r="B9" s="37">
        <f t="shared" si="0"/>
        <v>5844.6369999999997</v>
      </c>
      <c r="C9" s="33"/>
      <c r="D9" s="37">
        <f>IF( ISERROR(IND_andere_gas_kWh/1000),0,IND_andere_gas_kWh/1000)*0.902</f>
        <v>2240.6230220000002</v>
      </c>
      <c r="E9" s="33">
        <f>C31*'E Balans VL '!I19/100/3.6*1000000</f>
        <v>1491.4191237840089</v>
      </c>
      <c r="F9" s="33">
        <f>C31*'E Balans VL '!L19/100/3.6*1000000+C31*'E Balans VL '!N19/100/3.6*1000000</f>
        <v>5031.793157004563</v>
      </c>
      <c r="G9" s="34"/>
      <c r="H9" s="33"/>
      <c r="I9" s="33"/>
      <c r="J9" s="40">
        <f>C31*'E Balans VL '!D19/100/3.6*1000000+C31*'E Balans VL '!E19/100/3.6*1000000</f>
        <v>0</v>
      </c>
      <c r="K9" s="33"/>
      <c r="L9" s="33"/>
      <c r="M9" s="33"/>
      <c r="N9" s="33">
        <f>C31*'E Balans VL '!Y19/100/3.6*1000000</f>
        <v>1827.8181478130018</v>
      </c>
      <c r="O9" s="33"/>
      <c r="P9" s="33"/>
      <c r="R9" s="32"/>
    </row>
    <row r="10" spans="1:18">
      <c r="A10" s="6" t="s">
        <v>41</v>
      </c>
      <c r="B10" s="37">
        <f t="shared" si="0"/>
        <v>669.62599999999998</v>
      </c>
      <c r="C10" s="33"/>
      <c r="D10" s="37">
        <f>IF( ISERROR(IND_voed_gas_kWh/1000),0,IND_voed_gas_kWh/1000)*0.902</f>
        <v>675.13707800000009</v>
      </c>
      <c r="E10" s="33">
        <f>C32*'E Balans VL '!I20/100/3.6*1000000</f>
        <v>17.022812391847168</v>
      </c>
      <c r="F10" s="33">
        <f>C32*'E Balans VL '!L20/100/3.6*1000000+C32*'E Balans VL '!N20/100/3.6*1000000</f>
        <v>151.52631184685899</v>
      </c>
      <c r="G10" s="34"/>
      <c r="H10" s="33"/>
      <c r="I10" s="33"/>
      <c r="J10" s="40">
        <f>C32*'E Balans VL '!D20/100/3.6*1000000+C32*'E Balans VL '!E20/100/3.6*1000000</f>
        <v>0</v>
      </c>
      <c r="K10" s="33"/>
      <c r="L10" s="33"/>
      <c r="M10" s="33"/>
      <c r="N10" s="33">
        <f>C32*'E Balans VL '!Y20/100/3.6*1000000</f>
        <v>251.12790092667242</v>
      </c>
      <c r="O10" s="33"/>
      <c r="P10" s="33"/>
      <c r="R10" s="32"/>
    </row>
    <row r="11" spans="1:18">
      <c r="A11" s="6" t="s">
        <v>40</v>
      </c>
      <c r="B11" s="37">
        <f t="shared" si="0"/>
        <v>125.148</v>
      </c>
      <c r="C11" s="33"/>
      <c r="D11" s="37">
        <f>IF( ISERROR(IND_textiel_gas_kWh/1000),0,IND_textiel_gas_kWh/1000)*0.902</f>
        <v>441.80050199999999</v>
      </c>
      <c r="E11" s="33">
        <f>C33*'E Balans VL '!I21/100/3.6*1000000</f>
        <v>0.343564915156855</v>
      </c>
      <c r="F11" s="33">
        <f>C33*'E Balans VL '!L21/100/3.6*1000000+C33*'E Balans VL '!N21/100/3.6*1000000</f>
        <v>6.634825401079075</v>
      </c>
      <c r="G11" s="34"/>
      <c r="H11" s="33"/>
      <c r="I11" s="33"/>
      <c r="J11" s="40">
        <f>C33*'E Balans VL '!D21/100/3.6*1000000+C33*'E Balans VL '!E21/100/3.6*1000000</f>
        <v>0</v>
      </c>
      <c r="K11" s="33"/>
      <c r="L11" s="33"/>
      <c r="M11" s="33"/>
      <c r="N11" s="33">
        <f>C33*'E Balans VL '!Y21/100/3.6*1000000</f>
        <v>0.25152677018279218</v>
      </c>
      <c r="O11" s="33"/>
      <c r="P11" s="33"/>
      <c r="R11" s="32"/>
    </row>
    <row r="12" spans="1:18">
      <c r="A12" s="6" t="s">
        <v>37</v>
      </c>
      <c r="B12" s="37">
        <f t="shared" si="0"/>
        <v>12921.352999999999</v>
      </c>
      <c r="C12" s="33"/>
      <c r="D12" s="37">
        <f>IF( ISERROR(IND_min_gas_kWh/1000),0,IND_min_gas_kWh/1000)*0.902</f>
        <v>333.52171599999997</v>
      </c>
      <c r="E12" s="33">
        <f>C34*'E Balans VL '!I22/100/3.6*1000000</f>
        <v>274.54636746806386</v>
      </c>
      <c r="F12" s="33">
        <f>C34*'E Balans VL '!L22/100/3.6*1000000+C34*'E Balans VL '!N22/100/3.6*1000000</f>
        <v>2108.2288589945119</v>
      </c>
      <c r="G12" s="34"/>
      <c r="H12" s="33"/>
      <c r="I12" s="33"/>
      <c r="J12" s="40">
        <f>C34*'E Balans VL '!D22/100/3.6*1000000+C34*'E Balans VL '!E22/100/3.6*1000000</f>
        <v>15.054582072277052</v>
      </c>
      <c r="K12" s="33"/>
      <c r="L12" s="33"/>
      <c r="M12" s="33"/>
      <c r="N12" s="33">
        <f>C34*'E Balans VL '!Y22/100/3.6*1000000</f>
        <v>0</v>
      </c>
      <c r="O12" s="33"/>
      <c r="P12" s="33"/>
      <c r="R12" s="32"/>
    </row>
    <row r="13" spans="1:18">
      <c r="A13" s="6" t="s">
        <v>39</v>
      </c>
      <c r="B13" s="37">
        <f t="shared" si="0"/>
        <v>264.34199999999998</v>
      </c>
      <c r="C13" s="33"/>
      <c r="D13" s="37">
        <f>IF( ISERROR(IND_papier_gas_kWh/1000),0,IND_papier_gas_kWh/1000)*0.902</f>
        <v>107.347922</v>
      </c>
      <c r="E13" s="33">
        <f>C35*'E Balans VL '!I23/100/3.6*1000000</f>
        <v>1.1336859362112555</v>
      </c>
      <c r="F13" s="33">
        <f>C35*'E Balans VL '!L23/100/3.6*1000000+C35*'E Balans VL '!N23/100/3.6*1000000</f>
        <v>6.6437349253371414</v>
      </c>
      <c r="G13" s="34"/>
      <c r="H13" s="33"/>
      <c r="I13" s="33"/>
      <c r="J13" s="40">
        <f>C35*'E Balans VL '!D23/100/3.6*1000000+C35*'E Balans VL '!E23/100/3.6*1000000</f>
        <v>17.696247043771226</v>
      </c>
      <c r="K13" s="33"/>
      <c r="L13" s="33"/>
      <c r="M13" s="33"/>
      <c r="N13" s="33">
        <f>C35*'E Balans VL '!Y23/100/3.6*1000000</f>
        <v>481.16530292596951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16527.315999999999</v>
      </c>
      <c r="C15" s="33"/>
      <c r="D15" s="37">
        <f>IF( ISERROR(IND_rest_gas_kWh/1000),0,IND_rest_gas_kWh/1000)*0.902</f>
        <v>27795.012739999998</v>
      </c>
      <c r="E15" s="33">
        <f>C37*'E Balans VL '!I15/100/3.6*1000000</f>
        <v>896.98520266545029</v>
      </c>
      <c r="F15" s="33">
        <f>C37*'E Balans VL '!L15/100/3.6*1000000+C37*'E Balans VL '!N15/100/3.6*1000000</f>
        <v>3602.1906946407889</v>
      </c>
      <c r="G15" s="34"/>
      <c r="H15" s="33"/>
      <c r="I15" s="33"/>
      <c r="J15" s="40">
        <f>C37*'E Balans VL '!D15/100/3.6*1000000+C37*'E Balans VL '!E15/100/3.6*1000000</f>
        <v>133.98886056078544</v>
      </c>
      <c r="K15" s="33"/>
      <c r="L15" s="33"/>
      <c r="M15" s="33"/>
      <c r="N15" s="33">
        <f>C37*'E Balans VL '!Y15/100/3.6*1000000</f>
        <v>3328.0674870893376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36616.745999999999</v>
      </c>
      <c r="C18" s="21">
        <f>C5+C16</f>
        <v>0</v>
      </c>
      <c r="D18" s="21">
        <f>MAX((D5+D16),0)</f>
        <v>31911.26268</v>
      </c>
      <c r="E18" s="21">
        <f>MAX((E5+E16),0)</f>
        <v>2690.9619343150439</v>
      </c>
      <c r="F18" s="21">
        <f>MAX((F5+F16),0)</f>
        <v>11022.43930515094</v>
      </c>
      <c r="G18" s="21"/>
      <c r="H18" s="21"/>
      <c r="I18" s="21"/>
      <c r="J18" s="21">
        <f>MAX((J5+J16),0)</f>
        <v>166.73968967683373</v>
      </c>
      <c r="K18" s="21"/>
      <c r="L18" s="21">
        <f>MAX((L5+L16),0)</f>
        <v>0</v>
      </c>
      <c r="M18" s="21"/>
      <c r="N18" s="21">
        <f>MAX((N5+N16),0)</f>
        <v>5901.6781047779732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0.17432108868169788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6383.0710267012055</v>
      </c>
      <c r="C22" s="23">
        <f ca="1">C18*C20</f>
        <v>0</v>
      </c>
      <c r="D22" s="23">
        <f>D18*D20</f>
        <v>6446.0750613600003</v>
      </c>
      <c r="E22" s="23">
        <f>E18*E20</f>
        <v>610.84835908951493</v>
      </c>
      <c r="F22" s="23">
        <f>F18*F20</f>
        <v>2942.9912944753009</v>
      </c>
      <c r="G22" s="23"/>
      <c r="H22" s="23"/>
      <c r="I22" s="23"/>
      <c r="J22" s="23">
        <f>J18*J20</f>
        <v>59.025850145599136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264.32400000000001</v>
      </c>
      <c r="C30" s="39">
        <f>IF(ISERROR(B30*3.6/1000000/'E Balans VL '!Z18*100),0,B30*3.6/1000000/'E Balans VL '!Z18*100)</f>
        <v>5.6004588642795727E-2</v>
      </c>
      <c r="D30" s="237" t="s">
        <v>660</v>
      </c>
    </row>
    <row r="31" spans="1:18">
      <c r="A31" s="6" t="s">
        <v>33</v>
      </c>
      <c r="B31" s="37">
        <f>IF( ISERROR(IND_ander_ele_kWh/1000),0,IND_ander_ele_kWh/1000)</f>
        <v>5844.6369999999997</v>
      </c>
      <c r="C31" s="39">
        <f>IF(ISERROR(B31*3.6/1000000/'E Balans VL '!Z19*100),0,B31*3.6/1000000/'E Balans VL '!Z19*100)</f>
        <v>0.24601404254346962</v>
      </c>
      <c r="D31" s="237" t="s">
        <v>660</v>
      </c>
    </row>
    <row r="32" spans="1:18">
      <c r="A32" s="171" t="s">
        <v>41</v>
      </c>
      <c r="B32" s="37">
        <f>IF( ISERROR(IND_voed_ele_kWh/1000),0,IND_voed_ele_kWh/1000)</f>
        <v>669.62599999999998</v>
      </c>
      <c r="C32" s="39">
        <f>IF(ISERROR(B32*3.6/1000000/'E Balans VL '!Z20*100),0,B32*3.6/1000000/'E Balans VL '!Z20*100)</f>
        <v>0.11186859959711751</v>
      </c>
      <c r="D32" s="237" t="s">
        <v>660</v>
      </c>
    </row>
    <row r="33" spans="1:5">
      <c r="A33" s="171" t="s">
        <v>40</v>
      </c>
      <c r="B33" s="37">
        <f>IF( ISERROR(IND_textiel_ele_kWh/1000),0,IND_textiel_ele_kWh/1000)</f>
        <v>125.148</v>
      </c>
      <c r="C33" s="39">
        <f>IF(ISERROR(B33*3.6/1000000/'E Balans VL '!Z21*100),0,B33*3.6/1000000/'E Balans VL '!Z21*100)</f>
        <v>7.3065147475030404E-3</v>
      </c>
      <c r="D33" s="237" t="s">
        <v>660</v>
      </c>
    </row>
    <row r="34" spans="1:5">
      <c r="A34" s="171" t="s">
        <v>37</v>
      </c>
      <c r="B34" s="37">
        <f>IF( ISERROR(IND_min_ele_kWh/1000),0,IND_min_ele_kWh/1000)</f>
        <v>12921.352999999999</v>
      </c>
      <c r="C34" s="39">
        <f>IF(ISERROR(B34*3.6/1000000/'E Balans VL '!Z22*100),0,B34*3.6/1000000/'E Balans VL '!Z22*100)</f>
        <v>1.6378511774009179</v>
      </c>
      <c r="D34" s="237" t="s">
        <v>660</v>
      </c>
    </row>
    <row r="35" spans="1:5">
      <c r="A35" s="171" t="s">
        <v>39</v>
      </c>
      <c r="B35" s="37">
        <f>IF( ISERROR(IND_papier_ele_kWh/1000),0,IND_papier_ele_kWh/1000)</f>
        <v>264.34199999999998</v>
      </c>
      <c r="C35" s="39">
        <f>IF(ISERROR(B35*3.6/1000000/'E Balans VL '!Z22*100),0,B35*3.6/1000000/'E Balans VL '!Z22*100)</f>
        <v>3.3506774092195567E-2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16527.315999999999</v>
      </c>
      <c r="C37" s="39">
        <f>IF(ISERROR(B37*3.6/1000000/'E Balans VL '!Z15*100),0,B37*3.6/1000000/'E Balans VL '!Z15*100)</f>
        <v>0.13343142173807604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1281.604</v>
      </c>
      <c r="C5" s="17">
        <f>'Eigen informatie GS &amp; warmtenet'!B60</f>
        <v>0</v>
      </c>
      <c r="D5" s="30">
        <f>IF(ISERROR(SUM(LB_lb_gas_kWh,LB_rest_gas_kWh,onbekend_gas_kWh)/1000),0,SUM(LB_lb_gas_kWh,LB_rest_gas_kWh,onbekend_gas_kWh)/1000)*0.902</f>
        <v>2878.6734680000004</v>
      </c>
      <c r="E5" s="17">
        <f>B17*'E Balans VL '!I25/3.6*1000000/100</f>
        <v>33.047646369555991</v>
      </c>
      <c r="F5" s="17">
        <f>B17*('E Balans VL '!L25/3.6*1000000+'E Balans VL '!N25/3.6*1000000)/100</f>
        <v>4684.5066896255958</v>
      </c>
      <c r="G5" s="18"/>
      <c r="H5" s="17"/>
      <c r="I5" s="17"/>
      <c r="J5" s="17">
        <f>('E Balans VL '!D25+'E Balans VL '!E25)/3.6*1000000*landbouw!B17/100</f>
        <v>184.50383007314721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1281.604</v>
      </c>
      <c r="C8" s="21">
        <f>C5+C6</f>
        <v>0</v>
      </c>
      <c r="D8" s="21">
        <f>MAX((D5+D6),0)</f>
        <v>2878.6734680000004</v>
      </c>
      <c r="E8" s="21">
        <f>MAX((E5+E6),0)</f>
        <v>33.047646369555991</v>
      </c>
      <c r="F8" s="21">
        <f>MAX((F5+F6),0)</f>
        <v>4684.5066896255958</v>
      </c>
      <c r="G8" s="21"/>
      <c r="H8" s="21"/>
      <c r="I8" s="21"/>
      <c r="J8" s="21">
        <f>MAX((J5+J6),0)</f>
        <v>184.50383007314721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0.17432108868169788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223.41060453881875</v>
      </c>
      <c r="C12" s="23">
        <f ca="1">C8*C10</f>
        <v>0</v>
      </c>
      <c r="D12" s="23">
        <f>D8*D10</f>
        <v>581.4920405360001</v>
      </c>
      <c r="E12" s="23">
        <f>E8*E10</f>
        <v>7.5018157258892106</v>
      </c>
      <c r="F12" s="23">
        <f>F8*F10</f>
        <v>1250.7632861300342</v>
      </c>
      <c r="G12" s="23"/>
      <c r="H12" s="23"/>
      <c r="I12" s="23"/>
      <c r="J12" s="23">
        <f>J8*J10</f>
        <v>65.314355845894113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0.18071465315454477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100.35920274077726</v>
      </c>
      <c r="C26" s="247">
        <f>B26*'GWP N2O_CH4'!B5</f>
        <v>2107.5432575563227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35.589214321904933</v>
      </c>
      <c r="C27" s="247">
        <f>B27*'GWP N2O_CH4'!B5</f>
        <v>747.37350076000359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1.5235212045573836</v>
      </c>
      <c r="C28" s="247">
        <f>B28*'GWP N2O_CH4'!B4</f>
        <v>472.29157341278892</v>
      </c>
      <c r="D28" s="50"/>
    </row>
    <row r="29" spans="1:4">
      <c r="A29" s="41" t="s">
        <v>277</v>
      </c>
      <c r="B29" s="247">
        <f>B34*'ha_N2O bodem landbouw'!B4</f>
        <v>10.264133847005541</v>
      </c>
      <c r="C29" s="247">
        <f>B29*'GWP N2O_CH4'!B4</f>
        <v>3181.8814925717174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2.3099878848346633E-3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1.5346023198430125E-4</v>
      </c>
      <c r="C5" s="463" t="s">
        <v>211</v>
      </c>
      <c r="D5" s="448">
        <f>SUM(D6:D11)</f>
        <v>3.53769786371391E-4</v>
      </c>
      <c r="E5" s="448">
        <f>SUM(E6:E11)</f>
        <v>1.3590109604213066E-3</v>
      </c>
      <c r="F5" s="461" t="s">
        <v>211</v>
      </c>
      <c r="G5" s="448">
        <f>SUM(G6:G11)</f>
        <v>0.40738120926715249</v>
      </c>
      <c r="H5" s="448">
        <f>SUM(H6:H11)</f>
        <v>9.4883374590860506E-2</v>
      </c>
      <c r="I5" s="463" t="s">
        <v>211</v>
      </c>
      <c r="J5" s="463" t="s">
        <v>211</v>
      </c>
      <c r="K5" s="463" t="s">
        <v>211</v>
      </c>
      <c r="L5" s="463" t="s">
        <v>211</v>
      </c>
      <c r="M5" s="448">
        <f>SUM(M6:M11)</f>
        <v>1.5677869897206719E-2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1.2156399177833702E-4</v>
      </c>
      <c r="C6" s="449"/>
      <c r="D6" s="962">
        <f>vkm_2011_GW_PW*SUMIFS(TableVerdeelsleutelVkm[CNG],TableVerdeelsleutelVkm[Voertuigtype],"Lichte voertuigen")*SUMIFS(TableECFTransport[EnergieConsumptieFactor (PJ per km)],TableECFTransport[Index],CONCATENATE($A6,"_CNG_CNG"))</f>
        <v>2.4154978104340687E-4</v>
      </c>
      <c r="E6" s="962">
        <f>vkm_2011_GW_PW*SUMIFS(TableVerdeelsleutelVkm[LPG],TableVerdeelsleutelVkm[Voertuigtype],"Lichte voertuigen")*SUMIFS(TableECFTransport[EnergieConsumptieFactor (PJ per km)],TableECFTransport[Index],CONCATENATE($A6,"_LPG_LPG"))</f>
        <v>9.5058497751120412E-4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0.22601649117966408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6.5394792592957871E-2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9.0806446954687769E-3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8.4577427909674235E-2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2.732212181345003E-5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2.6649053435356795E-3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3.1896240205964217E-5</v>
      </c>
      <c r="C8" s="449"/>
      <c r="D8" s="451">
        <f>vkm_2011_NGW_PW*SUMIFS(TableVerdeelsleutelVkm[CNG],TableVerdeelsleutelVkm[Voertuigtype],"Lichte voertuigen")*SUMIFS(TableECFTransport[EnergieConsumptieFactor (PJ per km)],TableECFTransport[Index],CONCATENATE($A8,"_CNG_CNG"))</f>
        <v>1.1222000532798413E-4</v>
      </c>
      <c r="E8" s="451">
        <f>vkm_2011_NGW_PW*SUMIFS(TableVerdeelsleutelVkm[LPG],TableVerdeelsleutelVkm[Voertuigtype],"Lichte voertuigen")*SUMIFS(TableECFTransport[EnergieConsumptieFactor (PJ per km)],TableECFTransport[Index],CONCATENATE($A8,"_LPG_LPG"))</f>
        <v>4.0842598291010256E-4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9.0682049478429644E-2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2.9459394673288553E-2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3.7399562760437807E-3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6.1052406993845386E-3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1.8652028006410662E-6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1.9236358215848199E-4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42.627842217861456</v>
      </c>
      <c r="C14" s="21"/>
      <c r="D14" s="21">
        <f t="shared" ref="D14:M14" si="0">((D5)*10^9/3600)+D12</f>
        <v>98.269385103164154</v>
      </c>
      <c r="E14" s="21">
        <f t="shared" si="0"/>
        <v>377.50304456147404</v>
      </c>
      <c r="F14" s="21"/>
      <c r="G14" s="21">
        <f t="shared" si="0"/>
        <v>113161.44701865347</v>
      </c>
      <c r="H14" s="21">
        <f t="shared" si="0"/>
        <v>26356.492941905693</v>
      </c>
      <c r="I14" s="21"/>
      <c r="J14" s="21"/>
      <c r="K14" s="21"/>
      <c r="L14" s="21"/>
      <c r="M14" s="21">
        <f t="shared" si="0"/>
        <v>4354.9638603351996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0.17432108868169788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7.4309318635692518</v>
      </c>
      <c r="C18" s="23"/>
      <c r="D18" s="23">
        <f t="shared" ref="D18:M18" si="1">D14*D16</f>
        <v>19.850415790839161</v>
      </c>
      <c r="E18" s="23">
        <f t="shared" si="1"/>
        <v>85.69319111545461</v>
      </c>
      <c r="F18" s="23"/>
      <c r="G18" s="23">
        <f t="shared" si="1"/>
        <v>30214.106353980478</v>
      </c>
      <c r="H18" s="23">
        <f t="shared" si="1"/>
        <v>6562.766742534518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8.60496477439519E-3</v>
      </c>
      <c r="H50" s="321">
        <f t="shared" si="2"/>
        <v>0</v>
      </c>
      <c r="I50" s="321">
        <f t="shared" si="2"/>
        <v>0</v>
      </c>
      <c r="J50" s="321">
        <f t="shared" si="2"/>
        <v>0</v>
      </c>
      <c r="K50" s="321">
        <f t="shared" si="2"/>
        <v>0</v>
      </c>
      <c r="L50" s="321">
        <f t="shared" si="2"/>
        <v>0</v>
      </c>
      <c r="M50" s="321">
        <f t="shared" si="2"/>
        <v>2.6690675642867655E-4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8.60496477439519E-3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2.6690675642867655E-4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2390.2679928875527</v>
      </c>
      <c r="H54" s="21">
        <f t="shared" si="3"/>
        <v>0</v>
      </c>
      <c r="I54" s="21">
        <f t="shared" si="3"/>
        <v>0</v>
      </c>
      <c r="J54" s="21">
        <f t="shared" si="3"/>
        <v>0</v>
      </c>
      <c r="K54" s="21">
        <f t="shared" si="3"/>
        <v>0</v>
      </c>
      <c r="L54" s="21">
        <f t="shared" si="3"/>
        <v>0</v>
      </c>
      <c r="M54" s="21">
        <f t="shared" si="3"/>
        <v>74.140765674632377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0.17432108868169788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638.20155410097664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14109.921400638708</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11047.511330382364</v>
      </c>
      <c r="C6" s="1203"/>
      <c r="D6" s="1188"/>
      <c r="E6" s="1188"/>
      <c r="F6" s="1206"/>
      <c r="G6" s="1209"/>
      <c r="H6" s="1200"/>
      <c r="I6" s="1188"/>
      <c r="J6" s="1188"/>
      <c r="K6" s="1188"/>
      <c r="L6" s="1192"/>
      <c r="M6" s="575"/>
      <c r="N6" s="1166"/>
      <c r="O6" s="1167"/>
      <c r="Q6" s="573"/>
      <c r="R6" s="1154"/>
      <c r="S6" s="1154"/>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25182.182731021072</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73042</v>
      </c>
      <c r="C27" s="851">
        <v>3620</v>
      </c>
      <c r="D27" s="672" t="s">
        <v>818</v>
      </c>
      <c r="E27" s="671" t="s">
        <v>819</v>
      </c>
      <c r="F27" s="671" t="s">
        <v>820</v>
      </c>
      <c r="G27" s="671" t="s">
        <v>821</v>
      </c>
      <c r="H27" s="671" t="s">
        <v>822</v>
      </c>
      <c r="I27" s="671" t="s">
        <v>819</v>
      </c>
      <c r="J27" s="850">
        <v>39072</v>
      </c>
      <c r="K27" s="850">
        <v>39295</v>
      </c>
      <c r="L27" s="671" t="s">
        <v>823</v>
      </c>
      <c r="M27" s="671">
        <v>5.5</v>
      </c>
      <c r="N27" s="671">
        <v>24.75</v>
      </c>
      <c r="O27" s="671">
        <v>35.357142857142861</v>
      </c>
      <c r="P27" s="671">
        <v>70.714285714285722</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32593.539000000001</v>
      </c>
      <c r="D10" s="718">
        <f ca="1">tertiair!C16</f>
        <v>35.357142857142861</v>
      </c>
      <c r="E10" s="718">
        <f ca="1">tertiair!D16</f>
        <v>127015.50774628572</v>
      </c>
      <c r="F10" s="718">
        <f>tertiair!E16</f>
        <v>569.76729947049921</v>
      </c>
      <c r="G10" s="718">
        <f ca="1">tertiair!F16</f>
        <v>8061.3166401422659</v>
      </c>
      <c r="H10" s="718">
        <f>tertiair!G16</f>
        <v>0</v>
      </c>
      <c r="I10" s="718">
        <f>tertiair!H16</f>
        <v>0</v>
      </c>
      <c r="J10" s="718">
        <f>tertiair!I16</f>
        <v>0</v>
      </c>
      <c r="K10" s="718">
        <f>tertiair!J16</f>
        <v>0</v>
      </c>
      <c r="L10" s="718">
        <f>tertiair!K16</f>
        <v>0</v>
      </c>
      <c r="M10" s="718">
        <f ca="1">tertiair!L16</f>
        <v>0</v>
      </c>
      <c r="N10" s="718">
        <f>tertiair!M16</f>
        <v>0</v>
      </c>
      <c r="O10" s="718">
        <f ca="1">tertiair!N16</f>
        <v>2452.6145782154122</v>
      </c>
      <c r="P10" s="718">
        <f>tertiair!O16</f>
        <v>3.1266666666666669</v>
      </c>
      <c r="Q10" s="719">
        <f>tertiair!P16</f>
        <v>0</v>
      </c>
      <c r="R10" s="721">
        <f ca="1">SUM(C10:Q10)</f>
        <v>170731.22907363769</v>
      </c>
      <c r="S10" s="67"/>
    </row>
    <row r="11" spans="1:19" s="474" customFormat="1">
      <c r="A11" s="870" t="s">
        <v>225</v>
      </c>
      <c r="B11" s="875"/>
      <c r="C11" s="718">
        <f>huishoudens!B8</f>
        <v>48563.818184075295</v>
      </c>
      <c r="D11" s="718">
        <f>huishoudens!C8</f>
        <v>0</v>
      </c>
      <c r="E11" s="718">
        <f>huishoudens!D8</f>
        <v>115033.61865600001</v>
      </c>
      <c r="F11" s="718">
        <f>huishoudens!E8</f>
        <v>4311.6666563482249</v>
      </c>
      <c r="G11" s="718">
        <f>huishoudens!F8</f>
        <v>33326.843230665632</v>
      </c>
      <c r="H11" s="718">
        <f>huishoudens!G8</f>
        <v>0</v>
      </c>
      <c r="I11" s="718">
        <f>huishoudens!H8</f>
        <v>0</v>
      </c>
      <c r="J11" s="718">
        <f>huishoudens!I8</f>
        <v>0</v>
      </c>
      <c r="K11" s="718">
        <f>huishoudens!J8</f>
        <v>0</v>
      </c>
      <c r="L11" s="718">
        <f>huishoudens!K8</f>
        <v>0</v>
      </c>
      <c r="M11" s="718">
        <f>huishoudens!L8</f>
        <v>0</v>
      </c>
      <c r="N11" s="718">
        <f>huishoudens!M8</f>
        <v>0</v>
      </c>
      <c r="O11" s="718">
        <f>huishoudens!N8</f>
        <v>11967.112755293498</v>
      </c>
      <c r="P11" s="718">
        <f>huishoudens!O8</f>
        <v>358.00333333333339</v>
      </c>
      <c r="Q11" s="719">
        <f>huishoudens!P8</f>
        <v>838.93333333333339</v>
      </c>
      <c r="R11" s="721">
        <f>SUM(C11:Q11)</f>
        <v>214399.99614904929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36616.745999999999</v>
      </c>
      <c r="D13" s="718">
        <f>industrie!C18</f>
        <v>0</v>
      </c>
      <c r="E13" s="718">
        <f>industrie!D18</f>
        <v>31911.26268</v>
      </c>
      <c r="F13" s="718">
        <f>industrie!E18</f>
        <v>2690.9619343150439</v>
      </c>
      <c r="G13" s="718">
        <f>industrie!F18</f>
        <v>11022.43930515094</v>
      </c>
      <c r="H13" s="718">
        <f>industrie!G18</f>
        <v>0</v>
      </c>
      <c r="I13" s="718">
        <f>industrie!H18</f>
        <v>0</v>
      </c>
      <c r="J13" s="718">
        <f>industrie!I18</f>
        <v>0</v>
      </c>
      <c r="K13" s="718">
        <f>industrie!J18</f>
        <v>166.73968967683373</v>
      </c>
      <c r="L13" s="718">
        <f>industrie!K18</f>
        <v>0</v>
      </c>
      <c r="M13" s="718">
        <f>industrie!L18</f>
        <v>0</v>
      </c>
      <c r="N13" s="718">
        <f>industrie!M18</f>
        <v>0</v>
      </c>
      <c r="O13" s="718">
        <f>industrie!N18</f>
        <v>5901.6781047779732</v>
      </c>
      <c r="P13" s="718">
        <f>industrie!O18</f>
        <v>0</v>
      </c>
      <c r="Q13" s="719">
        <f>industrie!P18</f>
        <v>0</v>
      </c>
      <c r="R13" s="721">
        <f>SUM(C13:Q13)</f>
        <v>88309.827713920793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117774.1031840753</v>
      </c>
      <c r="D15" s="723">
        <f t="shared" ref="D15:Q15" ca="1" si="0">SUM(D9:D14)</f>
        <v>35.357142857142861</v>
      </c>
      <c r="E15" s="723">
        <f t="shared" ca="1" si="0"/>
        <v>273960.38908228569</v>
      </c>
      <c r="F15" s="723">
        <f t="shared" si="0"/>
        <v>7572.3958901337683</v>
      </c>
      <c r="G15" s="723">
        <f t="shared" ca="1" si="0"/>
        <v>52410.599175958836</v>
      </c>
      <c r="H15" s="723">
        <f t="shared" si="0"/>
        <v>0</v>
      </c>
      <c r="I15" s="723">
        <f t="shared" si="0"/>
        <v>0</v>
      </c>
      <c r="J15" s="723">
        <f t="shared" si="0"/>
        <v>0</v>
      </c>
      <c r="K15" s="723">
        <f t="shared" si="0"/>
        <v>166.73968967683373</v>
      </c>
      <c r="L15" s="723">
        <f t="shared" si="0"/>
        <v>0</v>
      </c>
      <c r="M15" s="723">
        <f t="shared" ca="1" si="0"/>
        <v>0</v>
      </c>
      <c r="N15" s="723">
        <f t="shared" si="0"/>
        <v>0</v>
      </c>
      <c r="O15" s="723">
        <f t="shared" ca="1" si="0"/>
        <v>20321.405438286885</v>
      </c>
      <c r="P15" s="723">
        <f t="shared" si="0"/>
        <v>361.13000000000005</v>
      </c>
      <c r="Q15" s="724">
        <f t="shared" si="0"/>
        <v>838.93333333333339</v>
      </c>
      <c r="R15" s="725">
        <f ca="1">SUM(R9:R14)</f>
        <v>473441.0529366078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2390.2679928875527</v>
      </c>
      <c r="I18" s="718">
        <f>transport!H54</f>
        <v>0</v>
      </c>
      <c r="J18" s="718">
        <f>transport!I54</f>
        <v>0</v>
      </c>
      <c r="K18" s="718">
        <f>transport!J54</f>
        <v>0</v>
      </c>
      <c r="L18" s="718">
        <f>transport!K54</f>
        <v>0</v>
      </c>
      <c r="M18" s="718">
        <f>transport!L54</f>
        <v>0</v>
      </c>
      <c r="N18" s="718">
        <f>transport!M54</f>
        <v>74.140765674632377</v>
      </c>
      <c r="O18" s="718">
        <f>transport!N54</f>
        <v>0</v>
      </c>
      <c r="P18" s="718">
        <f>transport!O54</f>
        <v>0</v>
      </c>
      <c r="Q18" s="719">
        <f>transport!P54</f>
        <v>0</v>
      </c>
      <c r="R18" s="721">
        <f>SUM(C18:Q18)</f>
        <v>2464.4087585621851</v>
      </c>
      <c r="S18" s="67"/>
    </row>
    <row r="19" spans="1:19" s="474" customFormat="1" ht="15" thickBot="1">
      <c r="A19" s="870" t="s">
        <v>307</v>
      </c>
      <c r="B19" s="875"/>
      <c r="C19" s="727">
        <f>transport!B14</f>
        <v>42.627842217861456</v>
      </c>
      <c r="D19" s="727">
        <f>transport!C14</f>
        <v>0</v>
      </c>
      <c r="E19" s="727">
        <f>transport!D14</f>
        <v>98.269385103164154</v>
      </c>
      <c r="F19" s="727">
        <f>transport!E14</f>
        <v>377.50304456147404</v>
      </c>
      <c r="G19" s="727">
        <f>transport!F14</f>
        <v>0</v>
      </c>
      <c r="H19" s="727">
        <f>transport!G14</f>
        <v>113161.44701865347</v>
      </c>
      <c r="I19" s="727">
        <f>transport!H14</f>
        <v>26356.492941905693</v>
      </c>
      <c r="J19" s="727">
        <f>transport!I14</f>
        <v>0</v>
      </c>
      <c r="K19" s="727">
        <f>transport!J14</f>
        <v>0</v>
      </c>
      <c r="L19" s="727">
        <f>transport!K14</f>
        <v>0</v>
      </c>
      <c r="M19" s="727">
        <f>transport!L14</f>
        <v>0</v>
      </c>
      <c r="N19" s="727">
        <f>transport!M14</f>
        <v>4354.9638603351996</v>
      </c>
      <c r="O19" s="727">
        <f>transport!N14</f>
        <v>0</v>
      </c>
      <c r="P19" s="727">
        <f>transport!O14</f>
        <v>0</v>
      </c>
      <c r="Q19" s="728">
        <f>transport!P14</f>
        <v>0</v>
      </c>
      <c r="R19" s="729">
        <f>SUM(C19:Q19)</f>
        <v>144391.30409277687</v>
      </c>
      <c r="S19" s="67"/>
    </row>
    <row r="20" spans="1:19" s="474" customFormat="1" ht="15.75" thickBot="1">
      <c r="A20" s="730" t="s">
        <v>230</v>
      </c>
      <c r="B20" s="878"/>
      <c r="C20" s="873">
        <f>SUM(C17:C19)</f>
        <v>42.627842217861456</v>
      </c>
      <c r="D20" s="731">
        <f t="shared" ref="D20:R20" si="1">SUM(D17:D19)</f>
        <v>0</v>
      </c>
      <c r="E20" s="731">
        <f t="shared" si="1"/>
        <v>98.269385103164154</v>
      </c>
      <c r="F20" s="731">
        <f t="shared" si="1"/>
        <v>377.50304456147404</v>
      </c>
      <c r="G20" s="731">
        <f t="shared" si="1"/>
        <v>0</v>
      </c>
      <c r="H20" s="731">
        <f t="shared" si="1"/>
        <v>115551.71501154103</v>
      </c>
      <c r="I20" s="731">
        <f t="shared" si="1"/>
        <v>26356.492941905693</v>
      </c>
      <c r="J20" s="731">
        <f t="shared" si="1"/>
        <v>0</v>
      </c>
      <c r="K20" s="731">
        <f t="shared" si="1"/>
        <v>0</v>
      </c>
      <c r="L20" s="731">
        <f t="shared" si="1"/>
        <v>0</v>
      </c>
      <c r="M20" s="731">
        <f t="shared" si="1"/>
        <v>0</v>
      </c>
      <c r="N20" s="731">
        <f t="shared" si="1"/>
        <v>4429.1046260098319</v>
      </c>
      <c r="O20" s="731">
        <f t="shared" si="1"/>
        <v>0</v>
      </c>
      <c r="P20" s="731">
        <f t="shared" si="1"/>
        <v>0</v>
      </c>
      <c r="Q20" s="732">
        <f t="shared" si="1"/>
        <v>0</v>
      </c>
      <c r="R20" s="733">
        <f t="shared" si="1"/>
        <v>146855.71285133905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1281.604</v>
      </c>
      <c r="D22" s="727">
        <f>+landbouw!C8</f>
        <v>0</v>
      </c>
      <c r="E22" s="727">
        <f>+landbouw!D8</f>
        <v>2878.6734680000004</v>
      </c>
      <c r="F22" s="727">
        <f>+landbouw!E8</f>
        <v>33.047646369555991</v>
      </c>
      <c r="G22" s="727">
        <f>+landbouw!F8</f>
        <v>4684.5066896255958</v>
      </c>
      <c r="H22" s="727">
        <f>+landbouw!G8</f>
        <v>0</v>
      </c>
      <c r="I22" s="727">
        <f>+landbouw!H8</f>
        <v>0</v>
      </c>
      <c r="J22" s="727">
        <f>+landbouw!I8</f>
        <v>0</v>
      </c>
      <c r="K22" s="727">
        <f>+landbouw!J8</f>
        <v>184.50383007314721</v>
      </c>
      <c r="L22" s="727">
        <f>+landbouw!K8</f>
        <v>0</v>
      </c>
      <c r="M22" s="727">
        <f>+landbouw!L8</f>
        <v>0</v>
      </c>
      <c r="N22" s="727">
        <f>+landbouw!M8</f>
        <v>0</v>
      </c>
      <c r="O22" s="727">
        <f>+landbouw!N8</f>
        <v>0</v>
      </c>
      <c r="P22" s="727">
        <f>+landbouw!O8</f>
        <v>0</v>
      </c>
      <c r="Q22" s="728">
        <f>+landbouw!P8</f>
        <v>0</v>
      </c>
      <c r="R22" s="729">
        <f>SUM(C22:Q22)</f>
        <v>9062.3356340682985</v>
      </c>
      <c r="S22" s="67"/>
    </row>
    <row r="23" spans="1:19" s="474" customFormat="1" ht="17.25" thickTop="1" thickBot="1">
      <c r="A23" s="734" t="s">
        <v>116</v>
      </c>
      <c r="B23" s="864"/>
      <c r="C23" s="735">
        <f ca="1">C20+C15+C22</f>
        <v>119098.33502629316</v>
      </c>
      <c r="D23" s="735">
        <f t="shared" ref="D23:Q23" ca="1" si="2">D20+D15+D22</f>
        <v>35.357142857142861</v>
      </c>
      <c r="E23" s="735">
        <f t="shared" ca="1" si="2"/>
        <v>276937.33193538885</v>
      </c>
      <c r="F23" s="735">
        <f t="shared" si="2"/>
        <v>7982.946581064798</v>
      </c>
      <c r="G23" s="735">
        <f t="shared" ca="1" si="2"/>
        <v>57095.105865584432</v>
      </c>
      <c r="H23" s="735">
        <f t="shared" si="2"/>
        <v>115551.71501154103</v>
      </c>
      <c r="I23" s="735">
        <f t="shared" si="2"/>
        <v>26356.492941905693</v>
      </c>
      <c r="J23" s="735">
        <f t="shared" si="2"/>
        <v>0</v>
      </c>
      <c r="K23" s="735">
        <f t="shared" si="2"/>
        <v>351.24351974998092</v>
      </c>
      <c r="L23" s="735">
        <f t="shared" si="2"/>
        <v>0</v>
      </c>
      <c r="M23" s="735">
        <f t="shared" ca="1" si="2"/>
        <v>0</v>
      </c>
      <c r="N23" s="735">
        <f t="shared" si="2"/>
        <v>4429.1046260098319</v>
      </c>
      <c r="O23" s="735">
        <f t="shared" ca="1" si="2"/>
        <v>20321.405438286885</v>
      </c>
      <c r="P23" s="735">
        <f t="shared" si="2"/>
        <v>361.13000000000005</v>
      </c>
      <c r="Q23" s="736">
        <f t="shared" si="2"/>
        <v>838.93333333333339</v>
      </c>
      <c r="R23" s="737">
        <f ca="1">R20+R15+R22</f>
        <v>629359.10142201523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5681.7412024693785</v>
      </c>
      <c r="D36" s="718">
        <f ca="1">tertiair!C20</f>
        <v>8.4025210084033635</v>
      </c>
      <c r="E36" s="718">
        <f ca="1">tertiair!D20</f>
        <v>25657.132564749718</v>
      </c>
      <c r="F36" s="718">
        <f>tertiair!E20</f>
        <v>129.33717697980333</v>
      </c>
      <c r="G36" s="718">
        <f ca="1">tertiair!F20</f>
        <v>2152.3715429179852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33628.985008125288</v>
      </c>
    </row>
    <row r="37" spans="1:18">
      <c r="A37" s="885" t="s">
        <v>225</v>
      </c>
      <c r="B37" s="892"/>
      <c r="C37" s="718">
        <f ca="1">huishoudens!B12</f>
        <v>8465.6976563880417</v>
      </c>
      <c r="D37" s="718">
        <f ca="1">huishoudens!C12</f>
        <v>0</v>
      </c>
      <c r="E37" s="718">
        <f>huishoudens!D12</f>
        <v>23236.790968512003</v>
      </c>
      <c r="F37" s="718">
        <f>huishoudens!E12</f>
        <v>978.74833099104706</v>
      </c>
      <c r="G37" s="718">
        <f>huishoudens!F12</f>
        <v>8898.2671425877252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41579.504098478814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6383.0710267012055</v>
      </c>
      <c r="D39" s="718">
        <f ca="1">industrie!C22</f>
        <v>0</v>
      </c>
      <c r="E39" s="718">
        <f>industrie!D22</f>
        <v>6446.0750613600003</v>
      </c>
      <c r="F39" s="718">
        <f>industrie!E22</f>
        <v>610.84835908951493</v>
      </c>
      <c r="G39" s="718">
        <f>industrie!F22</f>
        <v>2942.9912944753009</v>
      </c>
      <c r="H39" s="718">
        <f>industrie!G22</f>
        <v>0</v>
      </c>
      <c r="I39" s="718">
        <f>industrie!H22</f>
        <v>0</v>
      </c>
      <c r="J39" s="718">
        <f>industrie!I22</f>
        <v>0</v>
      </c>
      <c r="K39" s="718">
        <f>industrie!J22</f>
        <v>59.025850145599136</v>
      </c>
      <c r="L39" s="718">
        <f>industrie!K22</f>
        <v>0</v>
      </c>
      <c r="M39" s="718">
        <f>industrie!L22</f>
        <v>0</v>
      </c>
      <c r="N39" s="718">
        <f>industrie!M22</f>
        <v>0</v>
      </c>
      <c r="O39" s="718">
        <f>industrie!N22</f>
        <v>0</v>
      </c>
      <c r="P39" s="718">
        <f>industrie!O22</f>
        <v>0</v>
      </c>
      <c r="Q39" s="828">
        <f>industrie!P22</f>
        <v>0</v>
      </c>
      <c r="R39" s="918">
        <f ca="1">SUM(C39:Q39)</f>
        <v>16442.011591771621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20530.509885558626</v>
      </c>
      <c r="D41" s="763">
        <f t="shared" ref="D41:R41" ca="1" si="4">SUM(D35:D40)</f>
        <v>8.4025210084033635</v>
      </c>
      <c r="E41" s="763">
        <f t="shared" ca="1" si="4"/>
        <v>55339.998594621728</v>
      </c>
      <c r="F41" s="763">
        <f t="shared" si="4"/>
        <v>1718.9338670603652</v>
      </c>
      <c r="G41" s="763">
        <f t="shared" ca="1" si="4"/>
        <v>13993.629979981011</v>
      </c>
      <c r="H41" s="763">
        <f t="shared" si="4"/>
        <v>0</v>
      </c>
      <c r="I41" s="763">
        <f t="shared" si="4"/>
        <v>0</v>
      </c>
      <c r="J41" s="763">
        <f t="shared" si="4"/>
        <v>0</v>
      </c>
      <c r="K41" s="763">
        <f t="shared" si="4"/>
        <v>59.025850145599136</v>
      </c>
      <c r="L41" s="763">
        <f t="shared" si="4"/>
        <v>0</v>
      </c>
      <c r="M41" s="763">
        <f t="shared" ca="1" si="4"/>
        <v>0</v>
      </c>
      <c r="N41" s="763">
        <f t="shared" si="4"/>
        <v>0</v>
      </c>
      <c r="O41" s="763">
        <f t="shared" ca="1" si="4"/>
        <v>0</v>
      </c>
      <c r="P41" s="763">
        <f t="shared" si="4"/>
        <v>0</v>
      </c>
      <c r="Q41" s="764">
        <f t="shared" si="4"/>
        <v>0</v>
      </c>
      <c r="R41" s="765">
        <f t="shared" ca="1" si="4"/>
        <v>91650.500698375719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638.20155410097664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638.20155410097664</v>
      </c>
    </row>
    <row r="45" spans="1:18" ht="15" thickBot="1">
      <c r="A45" s="888" t="s">
        <v>307</v>
      </c>
      <c r="B45" s="898"/>
      <c r="C45" s="727">
        <f ca="1">transport!B18</f>
        <v>7.4309318635692518</v>
      </c>
      <c r="D45" s="727">
        <f>transport!C18</f>
        <v>0</v>
      </c>
      <c r="E45" s="727">
        <f>transport!D18</f>
        <v>19.850415790839161</v>
      </c>
      <c r="F45" s="727">
        <f>transport!E18</f>
        <v>85.69319111545461</v>
      </c>
      <c r="G45" s="727">
        <f>transport!F18</f>
        <v>0</v>
      </c>
      <c r="H45" s="727">
        <f>transport!G18</f>
        <v>30214.106353980478</v>
      </c>
      <c r="I45" s="727">
        <f>transport!H18</f>
        <v>6562.766742534518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36889.847635284859</v>
      </c>
    </row>
    <row r="46" spans="1:18" ht="15.75" thickBot="1">
      <c r="A46" s="886" t="s">
        <v>230</v>
      </c>
      <c r="B46" s="899"/>
      <c r="C46" s="763">
        <f t="shared" ref="C46:R46" ca="1" si="5">SUM(C43:C45)</f>
        <v>7.4309318635692518</v>
      </c>
      <c r="D46" s="763">
        <f t="shared" ca="1" si="5"/>
        <v>0</v>
      </c>
      <c r="E46" s="763">
        <f t="shared" si="5"/>
        <v>19.850415790839161</v>
      </c>
      <c r="F46" s="763">
        <f t="shared" si="5"/>
        <v>85.69319111545461</v>
      </c>
      <c r="G46" s="763">
        <f t="shared" si="5"/>
        <v>0</v>
      </c>
      <c r="H46" s="763">
        <f t="shared" si="5"/>
        <v>30852.307908081453</v>
      </c>
      <c r="I46" s="763">
        <f t="shared" si="5"/>
        <v>6562.766742534518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37528.049189385834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223.41060453881875</v>
      </c>
      <c r="D48" s="718">
        <f ca="1">+landbouw!C12</f>
        <v>0</v>
      </c>
      <c r="E48" s="718">
        <f>+landbouw!D12</f>
        <v>581.4920405360001</v>
      </c>
      <c r="F48" s="718">
        <f>+landbouw!E12</f>
        <v>7.5018157258892106</v>
      </c>
      <c r="G48" s="718">
        <f>+landbouw!F12</f>
        <v>1250.7632861300342</v>
      </c>
      <c r="H48" s="718">
        <f>+landbouw!G12</f>
        <v>0</v>
      </c>
      <c r="I48" s="718">
        <f>+landbouw!H12</f>
        <v>0</v>
      </c>
      <c r="J48" s="718">
        <f>+landbouw!I12</f>
        <v>0</v>
      </c>
      <c r="K48" s="718">
        <f>+landbouw!J12</f>
        <v>65.314355845894113</v>
      </c>
      <c r="L48" s="718">
        <f>+landbouw!K12</f>
        <v>0</v>
      </c>
      <c r="M48" s="718">
        <f>+landbouw!L12</f>
        <v>0</v>
      </c>
      <c r="N48" s="718">
        <f>+landbouw!M12</f>
        <v>0</v>
      </c>
      <c r="O48" s="718">
        <f>+landbouw!N12</f>
        <v>0</v>
      </c>
      <c r="P48" s="718">
        <f>+landbouw!O12</f>
        <v>0</v>
      </c>
      <c r="Q48" s="719">
        <f>+landbouw!P12</f>
        <v>0</v>
      </c>
      <c r="R48" s="761">
        <f ca="1">SUM(C48:Q48)</f>
        <v>2128.4821027766366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20761.351421961012</v>
      </c>
      <c r="D53" s="773">
        <f t="shared" ref="D53:Q53" ca="1" si="6">D41+D46+D48</f>
        <v>8.4025210084033635</v>
      </c>
      <c r="E53" s="773">
        <f t="shared" ca="1" si="6"/>
        <v>55941.341050948569</v>
      </c>
      <c r="F53" s="773">
        <f t="shared" si="6"/>
        <v>1812.1288739017089</v>
      </c>
      <c r="G53" s="773">
        <f t="shared" ca="1" si="6"/>
        <v>15244.393266111045</v>
      </c>
      <c r="H53" s="773">
        <f t="shared" si="6"/>
        <v>30852.307908081453</v>
      </c>
      <c r="I53" s="773">
        <f t="shared" si="6"/>
        <v>6562.766742534518</v>
      </c>
      <c r="J53" s="773">
        <f t="shared" si="6"/>
        <v>0</v>
      </c>
      <c r="K53" s="773">
        <f t="shared" si="6"/>
        <v>124.34020599149325</v>
      </c>
      <c r="L53" s="773">
        <f t="shared" si="6"/>
        <v>0</v>
      </c>
      <c r="M53" s="773">
        <f t="shared" ca="1" si="6"/>
        <v>0</v>
      </c>
      <c r="N53" s="773">
        <f t="shared" si="6"/>
        <v>0</v>
      </c>
      <c r="O53" s="773">
        <f t="shared" ca="1" si="6"/>
        <v>0</v>
      </c>
      <c r="P53" s="773">
        <f>P41+P46+P48</f>
        <v>0</v>
      </c>
      <c r="Q53" s="774">
        <f t="shared" si="6"/>
        <v>0</v>
      </c>
      <c r="R53" s="775">
        <f ca="1">R41+R46+R48</f>
        <v>131307.03199053821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0.17432108868169785</v>
      </c>
      <c r="D55" s="836">
        <f t="shared" ca="1" si="7"/>
        <v>0.23764705882352943</v>
      </c>
      <c r="E55" s="836">
        <f t="shared" ca="1" si="7"/>
        <v>0.20200000000000007</v>
      </c>
      <c r="F55" s="836">
        <f t="shared" si="7"/>
        <v>0.22699999999999995</v>
      </c>
      <c r="G55" s="836">
        <f t="shared" ca="1" si="7"/>
        <v>0.26700000000000002</v>
      </c>
      <c r="H55" s="836">
        <f t="shared" si="7"/>
        <v>0.26699999999999996</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14109.921400638708</v>
      </c>
      <c r="C64" s="795">
        <f>'lokale energieproductie'!B4</f>
        <v>14109.921400638708</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11047.511330382364</v>
      </c>
      <c r="C66" s="795">
        <f>'lokale energieproductie'!B6</f>
        <v>11047.511330382364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25182.182731021072</v>
      </c>
      <c r="C69" s="803">
        <f>SUM(C64:C68)</f>
        <v>25157.432731021072</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48563.818184075295</v>
      </c>
      <c r="C4" s="478">
        <f>huishoudens!C8</f>
        <v>0</v>
      </c>
      <c r="D4" s="478">
        <f>huishoudens!D8</f>
        <v>115033.61865600001</v>
      </c>
      <c r="E4" s="478">
        <f>huishoudens!E8</f>
        <v>4311.6666563482249</v>
      </c>
      <c r="F4" s="478">
        <f>huishoudens!F8</f>
        <v>33326.843230665632</v>
      </c>
      <c r="G4" s="478">
        <f>huishoudens!G8</f>
        <v>0</v>
      </c>
      <c r="H4" s="478">
        <f>huishoudens!H8</f>
        <v>0</v>
      </c>
      <c r="I4" s="478">
        <f>huishoudens!I8</f>
        <v>0</v>
      </c>
      <c r="J4" s="478">
        <f>huishoudens!J8</f>
        <v>0</v>
      </c>
      <c r="K4" s="478">
        <f>huishoudens!K8</f>
        <v>0</v>
      </c>
      <c r="L4" s="478">
        <f>huishoudens!L8</f>
        <v>0</v>
      </c>
      <c r="M4" s="478">
        <f>huishoudens!M8</f>
        <v>0</v>
      </c>
      <c r="N4" s="478">
        <f>huishoudens!N8</f>
        <v>11967.112755293498</v>
      </c>
      <c r="O4" s="478">
        <f>huishoudens!O8</f>
        <v>358.00333333333339</v>
      </c>
      <c r="P4" s="479">
        <f>huishoudens!P8</f>
        <v>838.93333333333339</v>
      </c>
      <c r="Q4" s="480">
        <f>SUM(B4:P4)</f>
        <v>214399.99614904929</v>
      </c>
    </row>
    <row r="5" spans="1:17">
      <c r="A5" s="477" t="s">
        <v>156</v>
      </c>
      <c r="B5" s="478">
        <f ca="1">tertiair!B16</f>
        <v>30914.087</v>
      </c>
      <c r="C5" s="478">
        <f ca="1">tertiair!C16</f>
        <v>35.357142857142861</v>
      </c>
      <c r="D5" s="478">
        <f ca="1">tertiair!D16</f>
        <v>127015.50774628572</v>
      </c>
      <c r="E5" s="478">
        <f>tertiair!E16</f>
        <v>569.76729947049921</v>
      </c>
      <c r="F5" s="478">
        <f ca="1">tertiair!F16</f>
        <v>8061.3166401422659</v>
      </c>
      <c r="G5" s="478">
        <f>tertiair!G16</f>
        <v>0</v>
      </c>
      <c r="H5" s="478">
        <f>tertiair!H16</f>
        <v>0</v>
      </c>
      <c r="I5" s="478">
        <f>tertiair!I16</f>
        <v>0</v>
      </c>
      <c r="J5" s="478">
        <f>tertiair!J16</f>
        <v>0</v>
      </c>
      <c r="K5" s="478">
        <f>tertiair!K16</f>
        <v>0</v>
      </c>
      <c r="L5" s="478">
        <f ca="1">tertiair!L16</f>
        <v>0</v>
      </c>
      <c r="M5" s="478">
        <f>tertiair!M16</f>
        <v>0</v>
      </c>
      <c r="N5" s="478">
        <f ca="1">tertiair!N16</f>
        <v>2452.6145782154122</v>
      </c>
      <c r="O5" s="478">
        <f>tertiair!O16</f>
        <v>3.1266666666666669</v>
      </c>
      <c r="P5" s="479">
        <f>tertiair!P16</f>
        <v>0</v>
      </c>
      <c r="Q5" s="477">
        <f t="shared" ref="Q5:Q13" ca="1" si="0">SUM(B5:P5)</f>
        <v>169051.7770736377</v>
      </c>
    </row>
    <row r="6" spans="1:17">
      <c r="A6" s="477" t="s">
        <v>194</v>
      </c>
      <c r="B6" s="478">
        <f>'openbare verlichting'!B8</f>
        <v>1679.452</v>
      </c>
      <c r="C6" s="478"/>
      <c r="D6" s="478"/>
      <c r="E6" s="478"/>
      <c r="F6" s="478"/>
      <c r="G6" s="478"/>
      <c r="H6" s="478"/>
      <c r="I6" s="478"/>
      <c r="J6" s="478"/>
      <c r="K6" s="478"/>
      <c r="L6" s="478"/>
      <c r="M6" s="478"/>
      <c r="N6" s="478"/>
      <c r="O6" s="478"/>
      <c r="P6" s="479"/>
      <c r="Q6" s="477">
        <f t="shared" si="0"/>
        <v>1679.452</v>
      </c>
    </row>
    <row r="7" spans="1:17">
      <c r="A7" s="477" t="s">
        <v>112</v>
      </c>
      <c r="B7" s="478">
        <f>landbouw!B8</f>
        <v>1281.604</v>
      </c>
      <c r="C7" s="478">
        <f>landbouw!C8</f>
        <v>0</v>
      </c>
      <c r="D7" s="478">
        <f>landbouw!D8</f>
        <v>2878.6734680000004</v>
      </c>
      <c r="E7" s="478">
        <f>landbouw!E8</f>
        <v>33.047646369555991</v>
      </c>
      <c r="F7" s="478">
        <f>landbouw!F8</f>
        <v>4684.5066896255958</v>
      </c>
      <c r="G7" s="478">
        <f>landbouw!G8</f>
        <v>0</v>
      </c>
      <c r="H7" s="478">
        <f>landbouw!H8</f>
        <v>0</v>
      </c>
      <c r="I7" s="478">
        <f>landbouw!I8</f>
        <v>0</v>
      </c>
      <c r="J7" s="478">
        <f>landbouw!J8</f>
        <v>184.50383007314721</v>
      </c>
      <c r="K7" s="478">
        <f>landbouw!K8</f>
        <v>0</v>
      </c>
      <c r="L7" s="478">
        <f>landbouw!L8</f>
        <v>0</v>
      </c>
      <c r="M7" s="478">
        <f>landbouw!M8</f>
        <v>0</v>
      </c>
      <c r="N7" s="478">
        <f>landbouw!N8</f>
        <v>0</v>
      </c>
      <c r="O7" s="478">
        <f>landbouw!O8</f>
        <v>0</v>
      </c>
      <c r="P7" s="479">
        <f>landbouw!P8</f>
        <v>0</v>
      </c>
      <c r="Q7" s="477">
        <f t="shared" si="0"/>
        <v>9062.3356340682985</v>
      </c>
    </row>
    <row r="8" spans="1:17">
      <c r="A8" s="477" t="s">
        <v>638</v>
      </c>
      <c r="B8" s="478">
        <f>industrie!B18</f>
        <v>36616.745999999999</v>
      </c>
      <c r="C8" s="478">
        <f>industrie!C18</f>
        <v>0</v>
      </c>
      <c r="D8" s="478">
        <f>industrie!D18</f>
        <v>31911.26268</v>
      </c>
      <c r="E8" s="478">
        <f>industrie!E18</f>
        <v>2690.9619343150439</v>
      </c>
      <c r="F8" s="478">
        <f>industrie!F18</f>
        <v>11022.43930515094</v>
      </c>
      <c r="G8" s="478">
        <f>industrie!G18</f>
        <v>0</v>
      </c>
      <c r="H8" s="478">
        <f>industrie!H18</f>
        <v>0</v>
      </c>
      <c r="I8" s="478">
        <f>industrie!I18</f>
        <v>0</v>
      </c>
      <c r="J8" s="478">
        <f>industrie!J18</f>
        <v>166.73968967683373</v>
      </c>
      <c r="K8" s="478">
        <f>industrie!K18</f>
        <v>0</v>
      </c>
      <c r="L8" s="478">
        <f>industrie!L18</f>
        <v>0</v>
      </c>
      <c r="M8" s="478">
        <f>industrie!M18</f>
        <v>0</v>
      </c>
      <c r="N8" s="478">
        <f>industrie!N18</f>
        <v>5901.6781047779732</v>
      </c>
      <c r="O8" s="478">
        <f>industrie!O18</f>
        <v>0</v>
      </c>
      <c r="P8" s="479">
        <f>industrie!P18</f>
        <v>0</v>
      </c>
      <c r="Q8" s="477">
        <f t="shared" si="0"/>
        <v>88309.827713920793</v>
      </c>
    </row>
    <row r="9" spans="1:17" s="483" customFormat="1">
      <c r="A9" s="481" t="s">
        <v>564</v>
      </c>
      <c r="B9" s="482">
        <f>transport!B14</f>
        <v>42.627842217861456</v>
      </c>
      <c r="C9" s="482">
        <f>transport!C14</f>
        <v>0</v>
      </c>
      <c r="D9" s="482">
        <f>transport!D14</f>
        <v>98.269385103164154</v>
      </c>
      <c r="E9" s="482">
        <f>transport!E14</f>
        <v>377.50304456147404</v>
      </c>
      <c r="F9" s="482">
        <f>transport!F14</f>
        <v>0</v>
      </c>
      <c r="G9" s="482">
        <f>transport!G14</f>
        <v>113161.44701865347</v>
      </c>
      <c r="H9" s="482">
        <f>transport!H14</f>
        <v>26356.492941905693</v>
      </c>
      <c r="I9" s="482">
        <f>transport!I14</f>
        <v>0</v>
      </c>
      <c r="J9" s="482">
        <f>transport!J14</f>
        <v>0</v>
      </c>
      <c r="K9" s="482">
        <f>transport!K14</f>
        <v>0</v>
      </c>
      <c r="L9" s="482">
        <f>transport!L14</f>
        <v>0</v>
      </c>
      <c r="M9" s="482">
        <f>transport!M14</f>
        <v>4354.9638603351996</v>
      </c>
      <c r="N9" s="482">
        <f>transport!N14</f>
        <v>0</v>
      </c>
      <c r="O9" s="482">
        <f>transport!O14</f>
        <v>0</v>
      </c>
      <c r="P9" s="482">
        <f>transport!P14</f>
        <v>0</v>
      </c>
      <c r="Q9" s="481">
        <f>SUM(B9:P9)</f>
        <v>144391.30409277687</v>
      </c>
    </row>
    <row r="10" spans="1:17">
      <c r="A10" s="477" t="s">
        <v>554</v>
      </c>
      <c r="B10" s="478">
        <f>transport!B54</f>
        <v>0</v>
      </c>
      <c r="C10" s="478">
        <f>transport!C54</f>
        <v>0</v>
      </c>
      <c r="D10" s="478">
        <f>transport!D54</f>
        <v>0</v>
      </c>
      <c r="E10" s="478">
        <f>transport!E54</f>
        <v>0</v>
      </c>
      <c r="F10" s="478">
        <f>transport!F54</f>
        <v>0</v>
      </c>
      <c r="G10" s="478">
        <f>transport!G54</f>
        <v>2390.2679928875527</v>
      </c>
      <c r="H10" s="478">
        <f>transport!H54</f>
        <v>0</v>
      </c>
      <c r="I10" s="478">
        <f>transport!I54</f>
        <v>0</v>
      </c>
      <c r="J10" s="478">
        <f>transport!J54</f>
        <v>0</v>
      </c>
      <c r="K10" s="478">
        <f>transport!K54</f>
        <v>0</v>
      </c>
      <c r="L10" s="478">
        <f>transport!L54</f>
        <v>0</v>
      </c>
      <c r="M10" s="478">
        <f>transport!M54</f>
        <v>74.140765674632377</v>
      </c>
      <c r="N10" s="478">
        <f>transport!N54</f>
        <v>0</v>
      </c>
      <c r="O10" s="478">
        <f>transport!O54</f>
        <v>0</v>
      </c>
      <c r="P10" s="479">
        <f>transport!P54</f>
        <v>0</v>
      </c>
      <c r="Q10" s="477">
        <f t="shared" si="0"/>
        <v>2464.4087585621851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119098.33502629316</v>
      </c>
      <c r="C14" s="488">
        <f t="shared" ref="C14:Q14" ca="1" si="1">SUM(C4:C13)</f>
        <v>35.357142857142861</v>
      </c>
      <c r="D14" s="488">
        <f t="shared" ca="1" si="1"/>
        <v>276937.33193538885</v>
      </c>
      <c r="E14" s="488">
        <f t="shared" si="1"/>
        <v>7982.946581064798</v>
      </c>
      <c r="F14" s="488">
        <f t="shared" ca="1" si="1"/>
        <v>57095.105865584432</v>
      </c>
      <c r="G14" s="488">
        <f t="shared" si="1"/>
        <v>115551.71501154103</v>
      </c>
      <c r="H14" s="488">
        <f t="shared" si="1"/>
        <v>26356.492941905693</v>
      </c>
      <c r="I14" s="488">
        <f t="shared" si="1"/>
        <v>0</v>
      </c>
      <c r="J14" s="488">
        <f t="shared" si="1"/>
        <v>351.24351974998092</v>
      </c>
      <c r="K14" s="488">
        <f t="shared" si="1"/>
        <v>0</v>
      </c>
      <c r="L14" s="488">
        <f t="shared" ca="1" si="1"/>
        <v>0</v>
      </c>
      <c r="M14" s="488">
        <f t="shared" si="1"/>
        <v>4429.1046260098319</v>
      </c>
      <c r="N14" s="488">
        <f t="shared" ca="1" si="1"/>
        <v>20321.405438286885</v>
      </c>
      <c r="O14" s="488">
        <f t="shared" si="1"/>
        <v>361.13000000000005</v>
      </c>
      <c r="P14" s="489">
        <f t="shared" si="1"/>
        <v>838.93333333333339</v>
      </c>
      <c r="Q14" s="489">
        <f t="shared" ca="1" si="1"/>
        <v>629359.10142201511</v>
      </c>
    </row>
    <row r="16" spans="1:17">
      <c r="A16" s="491" t="s">
        <v>559</v>
      </c>
      <c r="B16" s="841">
        <f ca="1">huishoudens!B10</f>
        <v>0.17432108868169788</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8465.6976563880417</v>
      </c>
      <c r="C21" s="478">
        <f t="shared" ref="C21:C30" ca="1" si="3">C4*$C$16</f>
        <v>0</v>
      </c>
      <c r="D21" s="478">
        <f t="shared" ref="D21:D30" si="4">D4*$D$16</f>
        <v>23236.790968512003</v>
      </c>
      <c r="E21" s="478">
        <f t="shared" ref="E21:E30" si="5">E4*$E$16</f>
        <v>978.74833099104706</v>
      </c>
      <c r="F21" s="478">
        <f t="shared" ref="F21:F30" si="6">F4*$F$16</f>
        <v>8898.2671425877252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41579.504098478814</v>
      </c>
    </row>
    <row r="22" spans="1:17">
      <c r="A22" s="477" t="s">
        <v>156</v>
      </c>
      <c r="B22" s="478">
        <f t="shared" ca="1" si="2"/>
        <v>5388.9773014407237</v>
      </c>
      <c r="C22" s="478">
        <f t="shared" ca="1" si="3"/>
        <v>8.4025210084033635</v>
      </c>
      <c r="D22" s="478">
        <f t="shared" ca="1" si="4"/>
        <v>25657.132564749718</v>
      </c>
      <c r="E22" s="478">
        <f t="shared" si="5"/>
        <v>129.33717697980333</v>
      </c>
      <c r="F22" s="478">
        <f t="shared" ca="1" si="6"/>
        <v>2152.3715429179852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33336.221107096637</v>
      </c>
    </row>
    <row r="23" spans="1:17">
      <c r="A23" s="477" t="s">
        <v>194</v>
      </c>
      <c r="B23" s="478">
        <f t="shared" ca="1" si="2"/>
        <v>292.76390102865486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292.76390102865486</v>
      </c>
    </row>
    <row r="24" spans="1:17">
      <c r="A24" s="477" t="s">
        <v>112</v>
      </c>
      <c r="B24" s="478">
        <f t="shared" ca="1" si="2"/>
        <v>223.41060453881875</v>
      </c>
      <c r="C24" s="478">
        <f t="shared" ca="1" si="3"/>
        <v>0</v>
      </c>
      <c r="D24" s="478">
        <f t="shared" si="4"/>
        <v>581.4920405360001</v>
      </c>
      <c r="E24" s="478">
        <f t="shared" si="5"/>
        <v>7.5018157258892106</v>
      </c>
      <c r="F24" s="478">
        <f t="shared" si="6"/>
        <v>1250.7632861300342</v>
      </c>
      <c r="G24" s="478">
        <f t="shared" si="7"/>
        <v>0</v>
      </c>
      <c r="H24" s="478">
        <f t="shared" si="8"/>
        <v>0</v>
      </c>
      <c r="I24" s="478">
        <f t="shared" si="9"/>
        <v>0</v>
      </c>
      <c r="J24" s="478">
        <f t="shared" si="10"/>
        <v>65.314355845894113</v>
      </c>
      <c r="K24" s="478">
        <f t="shared" si="11"/>
        <v>0</v>
      </c>
      <c r="L24" s="478">
        <f t="shared" si="12"/>
        <v>0</v>
      </c>
      <c r="M24" s="478">
        <f t="shared" si="13"/>
        <v>0</v>
      </c>
      <c r="N24" s="478">
        <f t="shared" si="14"/>
        <v>0</v>
      </c>
      <c r="O24" s="478">
        <f t="shared" si="15"/>
        <v>0</v>
      </c>
      <c r="P24" s="479">
        <f t="shared" si="16"/>
        <v>0</v>
      </c>
      <c r="Q24" s="477">
        <f t="shared" ca="1" si="17"/>
        <v>2128.4821027766366</v>
      </c>
    </row>
    <row r="25" spans="1:17">
      <c r="A25" s="477" t="s">
        <v>638</v>
      </c>
      <c r="B25" s="478">
        <f t="shared" ca="1" si="2"/>
        <v>6383.0710267012055</v>
      </c>
      <c r="C25" s="478">
        <f t="shared" ca="1" si="3"/>
        <v>0</v>
      </c>
      <c r="D25" s="478">
        <f t="shared" si="4"/>
        <v>6446.0750613600003</v>
      </c>
      <c r="E25" s="478">
        <f t="shared" si="5"/>
        <v>610.84835908951493</v>
      </c>
      <c r="F25" s="478">
        <f t="shared" si="6"/>
        <v>2942.9912944753009</v>
      </c>
      <c r="G25" s="478">
        <f t="shared" si="7"/>
        <v>0</v>
      </c>
      <c r="H25" s="478">
        <f t="shared" si="8"/>
        <v>0</v>
      </c>
      <c r="I25" s="478">
        <f t="shared" si="9"/>
        <v>0</v>
      </c>
      <c r="J25" s="478">
        <f t="shared" si="10"/>
        <v>59.025850145599136</v>
      </c>
      <c r="K25" s="478">
        <f t="shared" si="11"/>
        <v>0</v>
      </c>
      <c r="L25" s="478">
        <f t="shared" si="12"/>
        <v>0</v>
      </c>
      <c r="M25" s="478">
        <f t="shared" si="13"/>
        <v>0</v>
      </c>
      <c r="N25" s="478">
        <f t="shared" si="14"/>
        <v>0</v>
      </c>
      <c r="O25" s="478">
        <f t="shared" si="15"/>
        <v>0</v>
      </c>
      <c r="P25" s="479">
        <f t="shared" si="16"/>
        <v>0</v>
      </c>
      <c r="Q25" s="477">
        <f t="shared" ca="1" si="17"/>
        <v>16442.011591771621</v>
      </c>
    </row>
    <row r="26" spans="1:17" s="483" customFormat="1">
      <c r="A26" s="481" t="s">
        <v>564</v>
      </c>
      <c r="B26" s="835">
        <f t="shared" ca="1" si="2"/>
        <v>7.4309318635692518</v>
      </c>
      <c r="C26" s="482">
        <f t="shared" ca="1" si="3"/>
        <v>0</v>
      </c>
      <c r="D26" s="482">
        <f t="shared" si="4"/>
        <v>19.850415790839161</v>
      </c>
      <c r="E26" s="482">
        <f t="shared" si="5"/>
        <v>85.69319111545461</v>
      </c>
      <c r="F26" s="482">
        <f t="shared" si="6"/>
        <v>0</v>
      </c>
      <c r="G26" s="482">
        <f t="shared" si="7"/>
        <v>30214.106353980478</v>
      </c>
      <c r="H26" s="482">
        <f t="shared" si="8"/>
        <v>6562.766742534518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36889.847635284859</v>
      </c>
    </row>
    <row r="27" spans="1:17">
      <c r="A27" s="477" t="s">
        <v>554</v>
      </c>
      <c r="B27" s="478">
        <f t="shared" ca="1" si="2"/>
        <v>0</v>
      </c>
      <c r="C27" s="478">
        <f t="shared" ca="1" si="3"/>
        <v>0</v>
      </c>
      <c r="D27" s="478">
        <f t="shared" si="4"/>
        <v>0</v>
      </c>
      <c r="E27" s="478">
        <f t="shared" si="5"/>
        <v>0</v>
      </c>
      <c r="F27" s="478">
        <f t="shared" si="6"/>
        <v>0</v>
      </c>
      <c r="G27" s="478">
        <f t="shared" si="7"/>
        <v>638.20155410097664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638.20155410097664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20761.351421961012</v>
      </c>
      <c r="C31" s="488">
        <f t="shared" ca="1" si="18"/>
        <v>8.4025210084033635</v>
      </c>
      <c r="D31" s="488">
        <f t="shared" ca="1" si="18"/>
        <v>55941.341050948569</v>
      </c>
      <c r="E31" s="488">
        <f t="shared" si="18"/>
        <v>1812.1288739017089</v>
      </c>
      <c r="F31" s="488">
        <f t="shared" ca="1" si="18"/>
        <v>15244.393266111045</v>
      </c>
      <c r="G31" s="488">
        <f t="shared" si="18"/>
        <v>30852.307908081453</v>
      </c>
      <c r="H31" s="488">
        <f t="shared" si="18"/>
        <v>6562.766742534518</v>
      </c>
      <c r="I31" s="488">
        <f t="shared" si="18"/>
        <v>0</v>
      </c>
      <c r="J31" s="488">
        <f t="shared" si="18"/>
        <v>124.34020599149325</v>
      </c>
      <c r="K31" s="488">
        <f t="shared" si="18"/>
        <v>0</v>
      </c>
      <c r="L31" s="488">
        <f t="shared" ca="1" si="18"/>
        <v>0</v>
      </c>
      <c r="M31" s="488">
        <f t="shared" si="18"/>
        <v>0</v>
      </c>
      <c r="N31" s="488">
        <f t="shared" ca="1" si="18"/>
        <v>0</v>
      </c>
      <c r="O31" s="488">
        <f t="shared" si="18"/>
        <v>0</v>
      </c>
      <c r="P31" s="489">
        <f t="shared" si="18"/>
        <v>0</v>
      </c>
      <c r="Q31" s="489">
        <f t="shared" ca="1" si="18"/>
        <v>131307.03199053821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0.17432108868169788</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0.17432108868169788</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0.17432108868169788</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2018-06-27T09:44:57Z</dcterms:modified>
</cp:coreProperties>
</file>