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D8" i="17"/>
  <c r="L6"/>
  <c r="L5" s="1"/>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F22" i="16"/>
  <c r="G39" i="14" s="1"/>
  <c r="G41" s="1"/>
  <c r="N22" i="16"/>
  <c r="O39" i="14" s="1"/>
  <c r="O41" s="1"/>
  <c r="E22" i="16"/>
  <c r="F39" i="14" s="1"/>
  <c r="F41" s="1"/>
  <c r="F53" s="1"/>
  <c r="K41"/>
  <c r="K53" s="1"/>
  <c r="K55"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<sst xmlns="http://schemas.openxmlformats.org/spreadsheetml/2006/main" count="1924" uniqueCount="818">
  <si>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</si>
  <si>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</si>
  <si>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</si>
  <si>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</si>
  <si>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</si>
  <si>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</si>
  <si>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</si>
  <si>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</si>
  <si>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</si>
  <si>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</si>
  <si>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</si>
  <si>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</si>
  <si>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</si>
  <si>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</si>
  <si>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</si>
  <si>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</si>
  <si>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</si>
  <si>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</si>
  <si>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</si>
  <si>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</si>
  <si>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</si>
  <si>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</si>
  <si>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</si>
  <si>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</si>
  <si>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</si>
  <si>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</si>
  <si>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</si>
  <si>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</si>
  <si>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</si>
  <si>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</si>
  <si>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</si>
  <si>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</si>
  <si>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</si>
  <si>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</si>
  <si>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</si>
  <si>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</si>
  <si>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</si>
  <si>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</si>
  <si>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</si>
  <si>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</si>
  <si>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</si>
  <si>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</si>
  <si>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</si>
  <si>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</si>
  <si>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</si>
  <si>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</si>
  <si>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</si>
  <si>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</si>
  <si>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</si>
  <si>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</si>
  <si>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</si>
  <si>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</si>
  <si>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</si>
  <si>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</si>
  <si>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</si>
  <si>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</si>
  <si>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</si>
  <si>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</si>
  <si>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</si>
  <si>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</si>
  <si>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</si>
  <si>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</si>
  <si>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</si>
  <si>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</si>
  <si>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</si>
  <si>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</si>
  <si>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</si>
  <si>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</si>
  <si>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</si>
  <si>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</si>
  <si>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</si>
  <si>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</si>
  <si>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</si>
  <si>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</si>
  <si>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</si>
  <si>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</si>
  <si>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</si>
  <si>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</si>
  <si>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</si>
  <si>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</si>
  <si>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</si>
  <si>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</si>
  <si>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</si>
  <si>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</si>
  <si>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</si>
  <si>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</si>
  <si>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</si>
  <si>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</si>
  <si>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</si>
  <si>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</si>
  <si>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</si>
  <si>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</si>
  <si>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</si>
  <si>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</si>
  <si>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</si>
  <si>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</si>
  <si>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</si>
  <si>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</si>
  <si>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</si>
  <si>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</si>
  <si>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</si>
  <si>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</si>
  <si>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</si>
  <si>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</si>
  <si>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</si>
  <si>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</si>
  <si>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</si>
  <si>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</si>
  <si>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</si>
  <si>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</si>
  <si>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</si>
  <si>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</si>
  <si>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</si>
  <si>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</si>
  <si>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</si>
  <si>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</si>
  <si>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</si>
  <si>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</si>
  <si>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</si>
  <si>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</si>
  <si>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</si>
  <si>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</si>
  <si>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</si>
  <si>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</si>
  <si>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</si>
  <si>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</si>
  <si>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</si>
  <si>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</si>
  <si>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</si>
  <si>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</si>
  <si>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</si>
  <si>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</si>
  <si>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</si>
  <si>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</si>
  <si>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</si>
  <si>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</si>
  <si>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</si>
  <si>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</si>
  <si>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</si>
  <si>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</si>
  <si>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</si>
  <si>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</si>
  <si>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</si>
  <si>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</si>
  <si>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</si>
  <si>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</si>
  <si>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</si>
  <si>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</si>
  <si>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</si>
  <si>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</si>
  <si>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</si>
  <si>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</si>
  <si>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</si>
  <si>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</si>
  <si>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</si>
  <si>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</si>
  <si>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</si>
  <si>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</si>
  <si>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</si>
  <si>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</si>
  <si>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</si>
  <si>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</si>
  <si>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</si>
  <si>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</si>
  <si>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</si>
  <si>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</si>
  <si>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</si>
  <si>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</si>
  <si>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</si>
  <si>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</si>
  <si>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</si>
  <si>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</si>
  <si>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</si>
  <si>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</si>
  <si>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</si>
  <si>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</si>
  <si>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</si>
  <si>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</si>
  <si>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</si>
  <si>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</si>
  <si>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</si>
  <si>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</si>
  <si>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</si>
  <si>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</si>
  <si>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</si>
  <si>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</si>
  <si>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</si>
  <si>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</si>
  <si>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</si>
  <si>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</si>
  <si>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</si>
  <si>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</si>
  <si>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</si>
  <si>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</si>
  <si>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</si>
  <si>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</si>
  <si>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</si>
  <si>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</si>
  <si>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</si>
  <si>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</si>
  <si>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</si>
  <si>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</si>
  <si>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</si>
  <si>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</si>
  <si>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</si>
  <si>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</si>
  <si>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</si>
  <si>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</si>
  <si>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</si>
  <si>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</si>
  <si>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</si>
  <si>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</si>
  <si>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</si>
  <si>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</si>
  <si>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</si>
  <si>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</si>
  <si>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</si>
  <si>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</si>
  <si>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</si>
  <si>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</si>
  <si>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</si>
  <si>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</si>
  <si>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</si>
  <si>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</si>
  <si>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</si>
  <si>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</si>
  <si>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</si>
  <si>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</si>
  <si>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</si>
  <si>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</si>
  <si>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</si>
  <si>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</si>
  <si>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</si>
  <si>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</si>
  <si>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</si>
  <si>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</si>
  <si>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</si>
  <si>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</si>
  <si>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</si>
  <si>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</si>
  <si>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</si>
  <si>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</si>
  <si>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</si>
  <si>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</si>
  <si>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</si>
  <si>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</si>
  <si>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</si>
  <si>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</si>
  <si>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</si>
  <si>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</si>
  <si>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</si>
  <si>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</si>
  <si>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</si>
  <si>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</si>
  <si>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</si>
  <si>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</si>
  <si>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</si>
  <si>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</si>
  <si>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</si>
  <si>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</si>
  <si>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</si>
  <si>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</si>
  <si>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</si>
  <si>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</si>
  <si>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</si>
  <si>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</si>
  <si>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</si>
  <si>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</si>
  <si>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</si>
  <si>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</si>
  <si>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</si>
  <si>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</si>
  <si>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</si>
  <si>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</si>
  <si>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</si>
  <si>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</si>
  <si>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</si>
  <si>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</si>
  <si>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</si>
  <si>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</si>
  <si>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</si>
  <si>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</si>
  <si>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</si>
  <si>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</si>
  <si>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</si>
  <si>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</si>
  <si>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</si>
  <si>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</si>
  <si>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</si>
  <si>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</si>
  <si>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</si>
  <si>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</si>
  <si>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</si>
  <si>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</si>
  <si>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</si>
  <si>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</si>
  <si>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</si>
  <si>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</si>
  <si>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</si>
  <si>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</si>
  <si>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</si>
  <si>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</si>
  <si>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</si>
  <si>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</si>
  <si>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</si>
  <si>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</si>
  <si>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</si>
  <si>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</si>
  <si>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</si>
  <si>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</si>
  <si>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</si>
  <si>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</si>
  <si>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</si>
  <si>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</si>
  <si>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</si>
  <si>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</si>
  <si>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</si>
  <si>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</si>
  <si>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</si>
  <si>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</si>
  <si>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</si>
  <si>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</si>
  <si>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</si>
  <si>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</si>
  <si>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</si>
  <si>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</si>
  <si>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</si>
  <si>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</si>
  <si>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</si>
  <si>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</si>
  <si>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</si>
  <si>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</si>
  <si>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</si>
  <si>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</si>
  <si>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</si>
  <si>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</si>
  <si>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</si>
  <si>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</si>
  <si>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</si>
  <si>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</si>
  <si>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</si>
  <si>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</si>
  <si>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</si>
  <si>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</si>
  <si>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</si>
  <si>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</si>
  <si>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</si>
  <si>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</si>
  <si>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</si>
  <si>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</si>
  <si>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</si>
  <si>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</si>
  <si>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</si>
  <si>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</si>
  <si>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</si>
  <si>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</si>
  <si>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</si>
  <si>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</si>
  <si>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</si>
  <si>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</si>
  <si>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</si>
  <si>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</si>
  <si>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</si>
  <si>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</si>
  <si>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</si>
  <si>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</si>
  <si>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</si>
  <si>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</si>
  <si>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</si>
  <si>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</si>
  <si>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</si>
  <si>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</si>
  <si>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</si>
  <si>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</si>
  <si>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</si>
  <si>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</si>
  <si>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</si>
  <si>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</si>
  <si>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</si>
  <si>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</si>
  <si>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</si>
  <si>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</si>
  <si>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</si>
  <si>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</si>
  <si>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</si>
  <si>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</si>
  <si>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</si>
  <si>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</si>
  <si>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</si>
  <si>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</si>
  <si>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</si>
  <si>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</si>
  <si>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</si>
  <si>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</si>
  <si>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</si>
  <si>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</si>
  <si>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</si>
  <si>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</si>
  <si>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</si>
  <si>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</si>
  <si>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</si>
  <si>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</si>
  <si>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</si>
  <si>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</si>
  <si>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</si>
  <si>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</si>
  <si>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</si>
  <si>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</si>
  <si>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</si>
  <si>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</si>
  <si>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</si>
  <si>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</si>
  <si>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</si>
  <si>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</si>
  <si>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</si>
  <si>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</si>
  <si>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</si>
  <si>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</si>
  <si>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</si>
  <si>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</si>
  <si>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</si>
  <si>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</si>
  <si>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</si>
  <si>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</si>
  <si>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</si>
  <si>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</si>
  <si>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</si>
  <si>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</si>
  <si>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</si>
  <si>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</si>
  <si>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</si>
  <si>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</si>
  <si>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</si>
  <si>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</si>
  <si>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</si>
  <si>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</si>
  <si>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</si>
  <si>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</si>
  <si>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</si>
  <si>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</si>
  <si>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</si>
  <si>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</si>
  <si>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</si>
  <si>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</si>
  <si>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</si>
  <si>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</si>
  <si>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</si>
  <si>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</si>
  <si>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</si>
  <si>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</si>
  <si>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</si>
  <si>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</si>
  <si>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</si>
  <si>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</si>
  <si>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</si>
  <si>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</si>
  <si>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</si>
  <si>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</si>
  <si>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</si>
  <si>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</si>
  <si>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</si>
  <si>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</si>
  <si>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</si>
  <si>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</si>
  <si>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</si>
  <si>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</si>
  <si>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</si>
  <si>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</si>
  <si>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</si>
  <si>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</si>
  <si>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</si>
  <si>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</si>
  <si>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</si>
  <si>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</si>
  <si>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</si>
  <si>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</si>
  <si>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</si>
  <si>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</si>
  <si>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</si>
  <si>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</si>
  <si>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</si>
  <si>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</si>
  <si>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</si>
  <si>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</si>
  <si>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</si>
  <si>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</si>
  <si>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</si>
  <si>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</si>
  <si>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</si>
  <si>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</si>
  <si>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</si>
  <si>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</si>
  <si>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</si>
  <si>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</si>
  <si>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</si>
  <si>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</si>
  <si>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</si>
  <si>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</si>
  <si>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</si>
  <si>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</si>
  <si>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</si>
  <si>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</si>
  <si>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</si>
  <si>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</si>
  <si>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</si>
  <si>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</si>
  <si>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</si>
  <si>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</si>
  <si>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</si>
  <si>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</si>
  <si>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</si>
  <si>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</si>
  <si>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</si>
  <si>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</si>
  <si>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</si>
  <si>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</si>
  <si>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</si>
  <si>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</si>
  <si>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</si>
  <si>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</si>
  <si>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</si>
  <si>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</si>
  <si>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</si>
  <si>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</si>
  <si>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</si>
  <si>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</si>
  <si>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</si>
  <si>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</si>
  <si>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</si>
  <si>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</si>
  <si>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</si>
  <si>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</si>
  <si>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</si>
  <si>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</si>
  <si>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</si>
  <si>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</si>
  <si>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</si>
  <si>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</si>
  <si>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</si>
  <si>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</si>
  <si>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</si>
  <si>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</si>
  <si>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</si>
  <si>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</si>
  <si>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</si>
  <si>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</si>
  <si>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</si>
  <si>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</si>
  <si>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</si>
  <si>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</si>
  <si>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</si>
  <si>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</si>
  <si>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</si>
  <si>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</si>
  <si>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</si>
  <si>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</si>
  <si>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</si>
  <si>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</si>
  <si>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</si>
  <si>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</si>
  <si>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</si>
  <si>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</si>
  <si>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</si>
  <si>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</si>
  <si>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</si>
  <si>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</si>
  <si>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</si>
  <si>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</si>
  <si>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</si>
  <si>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</si>
  <si>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</si>
  <si>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</si>
  <si>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</si>
  <si>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</si>
  <si>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</si>
  <si>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</si>
  <si>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</si>
  <si>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</si>
  <si>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</si>
  <si>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</si>
  <si>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</si>
  <si>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</si>
  <si>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</si>
  <si>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</si>
  <si>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</si>
  <si>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</si>
  <si>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</si>
  <si>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</si>
  <si>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</si>
  <si>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</si>
  <si>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</si>
  <si>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</si>
  <si>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</si>
  <si>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</si>
  <si>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</si>
  <si>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</si>
  <si>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</si>
  <si>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</si>
  <si>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</si>
  <si>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</si>
  <si>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</si>
  <si>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</si>
  <si>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</si>
  <si>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</si>
  <si>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</si>
  <si>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</si>
  <si>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</si>
  <si>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</si>
  <si>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</si>
  <si>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</si>
  <si>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</si>
  <si>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</si>
  <si>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</si>
  <si>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</si>
  <si>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</si>
  <si>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</si>
  <si>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</si>
  <si>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</si>
  <si>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</si>
  <si>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</si>
  <si>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</si>
  <si>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</si>
  <si>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</si>
  <si>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</si>
  <si>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</si>
  <si>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</si>
  <si>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</si>
  <si>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</si>
  <si>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</si>
  <si>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</si>
  <si>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</si>
  <si>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</si>
  <si>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</si>
  <si>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</si>
  <si>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</si>
  <si>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</si>
  <si>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</si>
  <si>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</si>
  <si>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</si>
  <si>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</si>
  <si>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</si>
  <si>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</si>
  <si>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</si>
  <si>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</si>
  <si>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</si>
  <si>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</si>
  <si>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</si>
  <si>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</si>
  <si>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</si>
  <si>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</si>
  <si>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</si>
  <si>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</si>
  <si>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</si>
  <si>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</si>
  <si>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</si>
  <si>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</si>
  <si>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</si>
  <si>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</si>
  <si>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</si>
  <si>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</si>
  <si>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</si>
  <si>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</si>
  <si>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</si>
  <si>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</si>
  <si>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</si>
  <si>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</si>
  <si>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</si>
  <si>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</si>
  <si>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</si>
  <si>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</si>
  <si>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</si>
  <si>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</si>
  <si>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</si>
  <si>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</si>
  <si>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</si>
  <si>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</si>
  <si>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</si>
  <si>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</si>
  <si>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</si>
  <si>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</si>
  <si>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</si>
  <si>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</si>
  <si>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</si>
  <si>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</si>
  <si>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</si>
  <si>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</si>
  <si>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</si>
  <si>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</si>
  <si>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</si>
  <si>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</si>
  <si>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</si>
  <si>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</si>
  <si>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</si>
  <si>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</si>
  <si>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</si>
  <si>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</si>
  <si>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</si>
  <si>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</si>
  <si>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</si>
  <si>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</si>
  <si>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</si>
  <si>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</si>
  <si>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</si>
  <si>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</si>
  <si>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</si>
  <si>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</si>
  <si>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</si>
  <si>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</si>
  <si>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</si>
  <si>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</si>
  <si>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</si>
  <si>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</si>
  <si>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</si>
  <si>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</si>
  <si>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</si>
  <si>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</si>
  <si>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</si>
  <si>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</si>
  <si>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</si>
  <si>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</si>
  <si>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</si>
  <si>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</si>
  <si>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</si>
  <si>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</si>
  <si>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</si>
  <si>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</si>
  <si>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</si>
  <si>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</si>
  <si>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</si>
  <si>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</si>
  <si>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</si>
  <si>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</si>
  <si>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</si>
  <si>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</si>
  <si>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</si>
  <si>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</si>
  <si>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</si>
  <si>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</si>
  <si>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</si>
  <si>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</si>
  <si>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</si>
  <si>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</si>
  <si>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</si>
  <si>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</si>
  <si>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</si>
  <si>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</si>
  <si>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</si>
  <si>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</si>
  <si>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</si>
  <si>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</si>
  <si>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</si>
  <si>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</si>
  <si>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</si>
  <si>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</si>
  <si>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</si>
  <si>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</si>
  <si>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</si>
  <si>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</si>
  <si>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</si>
  <si>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</si>
  <si>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</si>
  <si>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</si>
  <si>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</si>
  <si>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</si>
  <si>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</si>
  <si>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</si>
  <si>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</si>
  <si>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</si>
  <si>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</si>
  <si>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</si>
  <si>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</si>
  <si>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</si>
  <si>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</si>
  <si>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</si>
  <si>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</si>
  <si>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</si>
  <si>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</si>
  <si>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</si>
  <si>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</si>
  <si>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</si>
  <si>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</si>
  <si>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</si>
  <si>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</si>
  <si>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</si>
  <si>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</si>
  <si>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</si>
  <si>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</si>
  <si>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</si>
  <si>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</si>
  <si>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</si>
  <si>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</si>
  <si>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</si>
  <si>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</si>
  <si>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</si>
  <si>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</si>
  <si>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</si>
  <si>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</si>
  <si>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</si>
  <si>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</si>
  <si>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</si>
  <si>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</si>
  <si>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</si>
  <si>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</si>
  <si>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</si>
  <si>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</si>
  <si>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</si>
  <si>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</si>
  <si>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</si>
  <si>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</si>
  <si>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</si>
  <si>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72037</t>
  </si>
  <si>
    <t>HAMONT-ACHEL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</si>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</sst>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124766.5537955715</c:v>
                </c:pt>
                <c:pt idx="1">
                  <c:v>37188.449085140826</c:v>
                </c:pt>
                <c:pt idx="2">
                  <c:v>768.65099999999995</c:v>
                </c:pt>
                <c:pt idx="3">
                  <c:v>13521.88762149695</c:v>
                </c:pt>
                <c:pt idx="4">
                  <c:v>58261.730245204526</c:v>
                </c:pt>
                <c:pt idx="5">
                  <c:v>47630.819862082266</c:v>
                </c:pt>
                <c:pt idx="6">
                  <c:v>907.87910533511399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124766.5537955715</c:v>
                </c:pt>
                <c:pt idx="1">
                  <c:v>37188.449085140826</c:v>
                </c:pt>
                <c:pt idx="2">
                  <c:v>768.65099999999995</c:v>
                </c:pt>
                <c:pt idx="3">
                  <c:v>13521.88762149695</c:v>
                </c:pt>
                <c:pt idx="4">
                  <c:v>58261.730245204526</c:v>
                </c:pt>
                <c:pt idx="5">
                  <c:v>47630.819862082266</c:v>
                </c:pt>
                <c:pt idx="6">
                  <c:v>907.87910533511399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23966.194745249799</c:v>
                </c:pt>
                <c:pt idx="1">
                  <c:v>7492.0161893249606</c:v>
                </c:pt>
                <c:pt idx="2">
                  <c:v>157.0371763144486</c:v>
                </c:pt>
                <c:pt idx="3">
                  <c:v>3265.4441152954287</c:v>
                </c:pt>
                <c:pt idx="4">
                  <c:v>11181.73366016593</c:v>
                </c:pt>
                <c:pt idx="5">
                  <c:v>12179.225158709129</c:v>
                </c:pt>
                <c:pt idx="6">
                  <c:v>235.11110076508587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13856"/>
      </c:barChart>
      <c:catAx>
        <c:axId val="183393280"/>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23966.194745249799</c:v>
                </c:pt>
                <c:pt idx="1">
                  <c:v>7492.0161893249606</c:v>
                </c:pt>
                <c:pt idx="2">
                  <c:v>157.0371763144486</c:v>
                </c:pt>
                <c:pt idx="3">
                  <c:v>3265.4441152954287</c:v>
                </c:pt>
                <c:pt idx="4">
                  <c:v>11181.73366016593</c:v>
                </c:pt>
                <c:pt idx="5">
                  <c:v>12179.225158709129</c:v>
                </c:pt>
                <c:pt idx="6">
                  <c:v>235.11110076508587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72037</v>
      </c>
      <c r="B6" s="415"/>
      <c r="C6" s="416"/>
    </row>
    <row r="7" spans="1:7" s="413" customFormat="1" ht="15.75" customHeight="1">
      <c r="A7" s="417" t="str">
        <f>txtMunicipality</f>
        <v>HAMONT-ACHEL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5850</v>
      </c>
      <c r="C9" s="342">
        <v>5821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1871.82</v>
      </c>
    </row>
    <row r="15" spans="1:6">
      <c r="A15" s="348" t="s">
        <v>184</v>
      </c>
      <c r="B15" s="334">
        <v>31</v>
      </c>
    </row>
    <row r="16" spans="1:6">
      <c r="A16" s="348" t="s">
        <v>6</v>
      </c>
      <c r="B16" s="334">
        <v>1312</v>
      </c>
    </row>
    <row r="17" spans="1:6">
      <c r="A17" s="348" t="s">
        <v>7</v>
      </c>
      <c r="B17" s="334">
        <v>150</v>
      </c>
    </row>
    <row r="18" spans="1:6">
      <c r="A18" s="348" t="s">
        <v>8</v>
      </c>
      <c r="B18" s="334">
        <v>835</v>
      </c>
    </row>
    <row r="19" spans="1:6">
      <c r="A19" s="348" t="s">
        <v>9</v>
      </c>
      <c r="B19" s="334">
        <v>758</v>
      </c>
    </row>
    <row r="20" spans="1:6">
      <c r="A20" s="348" t="s">
        <v>10</v>
      </c>
      <c r="B20" s="334">
        <v>377</v>
      </c>
    </row>
    <row r="21" spans="1:6">
      <c r="A21" s="348" t="s">
        <v>11</v>
      </c>
      <c r="B21" s="334">
        <v>4762</v>
      </c>
    </row>
    <row r="22" spans="1:6">
      <c r="A22" s="348" t="s">
        <v>12</v>
      </c>
      <c r="B22" s="334">
        <v>15397</v>
      </c>
    </row>
    <row r="23" spans="1:6">
      <c r="A23" s="348" t="s">
        <v>13</v>
      </c>
      <c r="B23" s="334">
        <v>227</v>
      </c>
    </row>
    <row r="24" spans="1:6">
      <c r="A24" s="348" t="s">
        <v>14</v>
      </c>
      <c r="B24" s="334">
        <v>12</v>
      </c>
    </row>
    <row r="25" spans="1:6">
      <c r="A25" s="348" t="s">
        <v>15</v>
      </c>
      <c r="B25" s="334">
        <v>1162</v>
      </c>
    </row>
    <row r="26" spans="1:6">
      <c r="A26" s="348" t="s">
        <v>16</v>
      </c>
      <c r="B26" s="334">
        <v>13</v>
      </c>
    </row>
    <row r="27" spans="1:6">
      <c r="A27" s="348" t="s">
        <v>17</v>
      </c>
      <c r="B27" s="334">
        <v>5</v>
      </c>
    </row>
    <row r="28" spans="1:6" s="356" customFormat="1">
      <c r="A28" s="355" t="s">
        <v>18</v>
      </c>
      <c r="B28" s="355">
        <v>363633</v>
      </c>
    </row>
    <row r="29" spans="1:6">
      <c r="A29" s="355" t="s">
        <v>812</v>
      </c>
      <c r="B29" s="355">
        <v>184</v>
      </c>
      <c r="C29" s="356"/>
      <c r="D29" s="356"/>
      <c r="E29" s="356"/>
      <c r="F29" s="356"/>
    </row>
    <row r="30" spans="1:6">
      <c r="A30" s="355" t="s">
        <v>813</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47142</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554</v>
      </c>
    </row>
    <row r="39" spans="1:6">
      <c r="A39" s="348" t="s">
        <v>30</v>
      </c>
      <c r="B39" s="348" t="s">
        <v>31</v>
      </c>
      <c r="C39" s="334">
        <v>3960</v>
      </c>
      <c r="D39" s="334">
        <v>71256320</v>
      </c>
      <c r="E39" s="334">
        <v>5782</v>
      </c>
      <c r="F39" s="334">
        <v>23143776</v>
      </c>
    </row>
    <row r="40" spans="1:6">
      <c r="A40" s="348" t="s">
        <v>30</v>
      </c>
      <c r="B40" s="348" t="s">
        <v>29</v>
      </c>
      <c r="C40" s="334">
        <v>0</v>
      </c>
      <c r="D40" s="334">
        <v>0</v>
      </c>
      <c r="E40" s="334">
        <v>0</v>
      </c>
      <c r="F40" s="334">
        <v>0</v>
      </c>
    </row>
    <row r="41" spans="1:6">
      <c r="A41" s="348" t="s">
        <v>32</v>
      </c>
      <c r="B41" s="348" t="s">
        <v>33</v>
      </c>
      <c r="C41" s="334">
        <v>51</v>
      </c>
      <c r="D41" s="334">
        <v>2110319</v>
      </c>
      <c r="E41" s="334">
        <v>91</v>
      </c>
      <c r="F41" s="334">
        <v>4634487</v>
      </c>
    </row>
    <row r="42" spans="1:6">
      <c r="A42" s="348" t="s">
        <v>32</v>
      </c>
      <c r="B42" s="348" t="s">
        <v>34</v>
      </c>
      <c r="C42" s="334">
        <v>0</v>
      </c>
      <c r="D42" s="334">
        <v>0</v>
      </c>
      <c r="E42" s="334">
        <v>3</v>
      </c>
      <c r="F42" s="334">
        <v>352316</v>
      </c>
    </row>
    <row r="43" spans="1:6">
      <c r="A43" s="348" t="s">
        <v>32</v>
      </c>
      <c r="B43" s="348" t="s">
        <v>35</v>
      </c>
      <c r="C43" s="334">
        <v>0</v>
      </c>
      <c r="D43" s="334">
        <v>0</v>
      </c>
      <c r="E43" s="334">
        <v>0</v>
      </c>
      <c r="F43" s="334">
        <v>0</v>
      </c>
    </row>
    <row r="44" spans="1:6">
      <c r="A44" s="348" t="s">
        <v>32</v>
      </c>
      <c r="B44" s="348" t="s">
        <v>36</v>
      </c>
      <c r="C44" s="334">
        <v>23</v>
      </c>
      <c r="D44" s="334">
        <v>4423690</v>
      </c>
      <c r="E44" s="334">
        <v>39</v>
      </c>
      <c r="F44" s="334">
        <v>7253920</v>
      </c>
    </row>
    <row r="45" spans="1:6">
      <c r="A45" s="348" t="s">
        <v>32</v>
      </c>
      <c r="B45" s="348" t="s">
        <v>37</v>
      </c>
      <c r="C45" s="334">
        <v>0</v>
      </c>
      <c r="D45" s="334">
        <v>0</v>
      </c>
      <c r="E45" s="334">
        <v>7</v>
      </c>
      <c r="F45" s="334">
        <v>2037838</v>
      </c>
    </row>
    <row r="46" spans="1:6">
      <c r="A46" s="348" t="s">
        <v>32</v>
      </c>
      <c r="B46" s="348" t="s">
        <v>38</v>
      </c>
      <c r="C46" s="334">
        <v>0</v>
      </c>
      <c r="D46" s="334">
        <v>0</v>
      </c>
      <c r="E46" s="334">
        <v>0</v>
      </c>
      <c r="F46" s="334">
        <v>0</v>
      </c>
    </row>
    <row r="47" spans="1:6">
      <c r="A47" s="348" t="s">
        <v>32</v>
      </c>
      <c r="B47" s="348" t="s">
        <v>39</v>
      </c>
      <c r="C47" s="334">
        <v>0</v>
      </c>
      <c r="D47" s="334">
        <v>0</v>
      </c>
      <c r="E47" s="334">
        <v>3</v>
      </c>
      <c r="F47" s="334">
        <v>606979</v>
      </c>
    </row>
    <row r="48" spans="1:6">
      <c r="A48" s="348" t="s">
        <v>32</v>
      </c>
      <c r="B48" s="348" t="s">
        <v>29</v>
      </c>
      <c r="C48" s="334">
        <v>8</v>
      </c>
      <c r="D48" s="334">
        <v>886696</v>
      </c>
      <c r="E48" s="334">
        <v>0</v>
      </c>
      <c r="F48" s="334">
        <v>0</v>
      </c>
    </row>
    <row r="49" spans="1:6">
      <c r="A49" s="348" t="s">
        <v>32</v>
      </c>
      <c r="B49" s="348" t="s">
        <v>40</v>
      </c>
      <c r="C49" s="334">
        <v>0</v>
      </c>
      <c r="D49" s="334">
        <v>0</v>
      </c>
      <c r="E49" s="334">
        <v>7</v>
      </c>
      <c r="F49" s="334">
        <v>156535</v>
      </c>
    </row>
    <row r="50" spans="1:6">
      <c r="A50" s="348" t="s">
        <v>32</v>
      </c>
      <c r="B50" s="348" t="s">
        <v>41</v>
      </c>
      <c r="C50" s="334">
        <v>6</v>
      </c>
      <c r="D50" s="334">
        <v>9738058</v>
      </c>
      <c r="E50" s="334">
        <v>8</v>
      </c>
      <c r="F50" s="334">
        <v>9692366</v>
      </c>
    </row>
    <row r="51" spans="1:6">
      <c r="A51" s="348" t="s">
        <v>42</v>
      </c>
      <c r="B51" s="348" t="s">
        <v>43</v>
      </c>
      <c r="C51" s="334">
        <v>14</v>
      </c>
      <c r="D51" s="334">
        <v>4105375</v>
      </c>
      <c r="E51" s="334">
        <v>84</v>
      </c>
      <c r="F51" s="334">
        <v>2035018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99</v>
      </c>
      <c r="F54" s="334">
        <v>768651</v>
      </c>
    </row>
    <row r="55" spans="1:6">
      <c r="A55" s="348" t="s">
        <v>46</v>
      </c>
      <c r="B55" s="348" t="s">
        <v>29</v>
      </c>
      <c r="C55" s="334">
        <v>0</v>
      </c>
      <c r="D55" s="334">
        <v>0</v>
      </c>
      <c r="E55" s="334">
        <v>0</v>
      </c>
      <c r="F55" s="334">
        <v>0</v>
      </c>
    </row>
    <row r="56" spans="1:6">
      <c r="A56" s="348" t="s">
        <v>48</v>
      </c>
      <c r="B56" s="348" t="s">
        <v>29</v>
      </c>
      <c r="C56" s="334">
        <v>40</v>
      </c>
      <c r="D56" s="334">
        <v>922014</v>
      </c>
      <c r="E56" s="334">
        <v>111</v>
      </c>
      <c r="F56" s="334">
        <v>440786</v>
      </c>
    </row>
    <row r="57" spans="1:6">
      <c r="A57" s="348" t="s">
        <v>49</v>
      </c>
      <c r="B57" s="348" t="s">
        <v>50</v>
      </c>
      <c r="C57" s="334">
        <v>30</v>
      </c>
      <c r="D57" s="334">
        <v>1187612</v>
      </c>
      <c r="E57" s="334">
        <v>72</v>
      </c>
      <c r="F57" s="334">
        <v>1981997</v>
      </c>
    </row>
    <row r="58" spans="1:6">
      <c r="A58" s="348" t="s">
        <v>49</v>
      </c>
      <c r="B58" s="348" t="s">
        <v>51</v>
      </c>
      <c r="C58" s="334">
        <v>15</v>
      </c>
      <c r="D58" s="334">
        <v>2283909</v>
      </c>
      <c r="E58" s="334">
        <v>17</v>
      </c>
      <c r="F58" s="334">
        <v>667290</v>
      </c>
    </row>
    <row r="59" spans="1:6">
      <c r="A59" s="348" t="s">
        <v>49</v>
      </c>
      <c r="B59" s="348" t="s">
        <v>52</v>
      </c>
      <c r="C59" s="334">
        <v>86</v>
      </c>
      <c r="D59" s="334">
        <v>3433686</v>
      </c>
      <c r="E59" s="334">
        <v>162</v>
      </c>
      <c r="F59" s="334">
        <v>5132722</v>
      </c>
    </row>
    <row r="60" spans="1:6">
      <c r="A60" s="348" t="s">
        <v>49</v>
      </c>
      <c r="B60" s="348" t="s">
        <v>53</v>
      </c>
      <c r="C60" s="334">
        <v>38</v>
      </c>
      <c r="D60" s="334">
        <v>2034127</v>
      </c>
      <c r="E60" s="334">
        <v>54</v>
      </c>
      <c r="F60" s="334">
        <v>1278582</v>
      </c>
    </row>
    <row r="61" spans="1:6">
      <c r="A61" s="348" t="s">
        <v>49</v>
      </c>
      <c r="B61" s="348" t="s">
        <v>54</v>
      </c>
      <c r="C61" s="334">
        <v>117</v>
      </c>
      <c r="D61" s="334">
        <v>6760454</v>
      </c>
      <c r="E61" s="334">
        <v>258</v>
      </c>
      <c r="F61" s="334">
        <v>6506595</v>
      </c>
    </row>
    <row r="62" spans="1:6">
      <c r="A62" s="348" t="s">
        <v>49</v>
      </c>
      <c r="B62" s="348" t="s">
        <v>55</v>
      </c>
      <c r="C62" s="334">
        <v>9</v>
      </c>
      <c r="D62" s="334">
        <v>1261885</v>
      </c>
      <c r="E62" s="334">
        <v>12</v>
      </c>
      <c r="F62" s="334">
        <v>433617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211245</v>
      </c>
      <c r="E68" s="334">
        <v>6</v>
      </c>
      <c r="F68" s="334">
        <v>141241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38675220</v>
      </c>
      <c r="E73" s="476">
        <v>39746880.133609973</v>
      </c>
    </row>
    <row r="74" spans="1:6">
      <c r="A74" s="348" t="s">
        <v>64</v>
      </c>
      <c r="B74" s="348" t="s">
        <v>667</v>
      </c>
      <c r="C74" s="1212" t="s">
        <v>669</v>
      </c>
      <c r="D74" s="476">
        <v>3275479.0247513279</v>
      </c>
      <c r="E74" s="476">
        <v>3361933.9407122517</v>
      </c>
    </row>
    <row r="75" spans="1:6">
      <c r="A75" s="348" t="s">
        <v>65</v>
      </c>
      <c r="B75" s="348" t="s">
        <v>666</v>
      </c>
      <c r="C75" s="1212" t="s">
        <v>670</v>
      </c>
      <c r="D75" s="476">
        <v>15166350</v>
      </c>
      <c r="E75" s="476">
        <v>15586624.707832834</v>
      </c>
    </row>
    <row r="76" spans="1:6">
      <c r="A76" s="348" t="s">
        <v>65</v>
      </c>
      <c r="B76" s="348" t="s">
        <v>667</v>
      </c>
      <c r="C76" s="1212" t="s">
        <v>671</v>
      </c>
      <c r="D76" s="476">
        <v>647384.02475132782</v>
      </c>
      <c r="E76" s="476">
        <v>666621.53055484977</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243843.95049734428</v>
      </c>
      <c r="C83" s="476">
        <v>243843.95049734428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4339.0979112158475</v>
      </c>
    </row>
    <row r="92" spans="1:6">
      <c r="A92" s="341" t="s">
        <v>69</v>
      </c>
      <c r="B92" s="342">
        <v>1027.9171261365716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0</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71034.403888589542</v>
      </c>
      <c r="C3" s="43" t="s">
        <v>170</v>
      </c>
      <c r="D3" s="43"/>
      <c r="E3" s="154"/>
      <c r="F3" s="43"/>
      <c r="G3" s="43"/>
      <c r="H3" s="43"/>
      <c r="I3" s="43"/>
      <c r="J3" s="43"/>
      <c r="K3" s="96"/>
    </row>
    <row r="4" spans="1:11">
      <c r="A4" s="383" t="s">
        <v>171</v>
      </c>
      <c r="B4" s="49">
        <f>IF(ISERROR('SEAP template'!B69),0,'SEAP template'!B69)</f>
        <v>5367.0150373524193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0.20430231186123302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768.65099999999995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768.65099999999995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0.20430231186123302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157.0371763144486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23143.776000000002</v>
      </c>
      <c r="C5" s="17">
        <f>IF(ISERROR('Eigen informatie GS &amp; warmtenet'!B57),0,'Eigen informatie GS &amp; warmtenet'!B57)</f>
        <v>0</v>
      </c>
      <c r="D5" s="30">
        <f>(SUM(HH_hh_gas_kWh,HH_rest_gas_kWh)/1000)*0.902</f>
        <v>64273.20064000001</v>
      </c>
      <c r="E5" s="17">
        <f>B46*B57</f>
        <v>3065.229596707492</v>
      </c>
      <c r="F5" s="17">
        <f>B51*B62</f>
        <v>17499.574609981391</v>
      </c>
      <c r="G5" s="18"/>
      <c r="H5" s="17"/>
      <c r="I5" s="17"/>
      <c r="J5" s="17">
        <f>B50*B61+C50*C61</f>
        <v>0</v>
      </c>
      <c r="K5" s="17"/>
      <c r="L5" s="17"/>
      <c r="M5" s="17"/>
      <c r="N5" s="17">
        <f>B48*B59+C48*C59</f>
        <v>11814.545037666741</v>
      </c>
      <c r="O5" s="17">
        <f>B69*B70*B71</f>
        <v>173.53000000000003</v>
      </c>
      <c r="P5" s="17">
        <f>B77*B78*B79/1000-B77*B78*B79/1000/B80</f>
        <v>457.6</v>
      </c>
    </row>
    <row r="6" spans="1:16">
      <c r="A6" s="16" t="s">
        <v>624</v>
      </c>
      <c r="B6" s="843">
        <f>kWh_PV_kleiner_dan_10kW</f>
        <v>4339.0979112158475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27482.873911215851</v>
      </c>
      <c r="C8" s="21">
        <f>C5</f>
        <v>0</v>
      </c>
      <c r="D8" s="21">
        <f>D5</f>
        <v>64273.20064000001</v>
      </c>
      <c r="E8" s="21">
        <f>E5</f>
        <v>3065.229596707492</v>
      </c>
      <c r="F8" s="21">
        <f>F5</f>
        <v>17499.574609981391</v>
      </c>
      <c r="G8" s="21"/>
      <c r="H8" s="21"/>
      <c r="I8" s="21"/>
      <c r="J8" s="21">
        <f>J5</f>
        <v>0</v>
      </c>
      <c r="K8" s="21"/>
      <c r="L8" s="21">
        <f>L5</f>
        <v>0</v>
      </c>
      <c r="M8" s="21">
        <f>M5</f>
        <v>0</v>
      </c>
      <c r="N8" s="21">
        <f>N5</f>
        <v>11814.545037666741</v>
      </c>
      <c r="O8" s="21">
        <f>O5</f>
        <v>173.53000000000003</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0.20430231186123302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5614.8146766521659</v>
      </c>
      <c r="C12" s="23">
        <f ca="1">C10*C8</f>
        <v>0</v>
      </c>
      <c r="D12" s="23">
        <f>D8*D10</f>
        <v>12983.186529280003</v>
      </c>
      <c r="E12" s="23">
        <f>E10*E8</f>
        <v>695.80711845260066</v>
      </c>
      <c r="F12" s="23">
        <f>F10*F8</f>
        <v>4672.3864208650321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5850</v>
      </c>
      <c r="C28" s="36"/>
      <c r="D28" s="228"/>
    </row>
    <row r="29" spans="1:7" s="15" customFormat="1">
      <c r="A29" s="230" t="s">
        <v>699</v>
      </c>
      <c r="B29" s="37">
        <f>SUM(HH_hh_gas_aantal,HH_rest_gas_aantal)</f>
        <v>3960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3960</v>
      </c>
      <c r="C32" s="167">
        <f>IF(ISERROR(B32/SUM($B$32,$B$34,$B$35,$B$36,$B$38,$B$39)*100),0,B32/SUM($B$32,$B$34,$B$35,$B$36,$B$38,$B$39)*100)</f>
        <v>67.971163748712669</v>
      </c>
      <c r="D32" s="233"/>
      <c r="G32" s="15"/>
    </row>
    <row r="33" spans="1:7">
      <c r="A33" s="171" t="s">
        <v>72</v>
      </c>
      <c r="B33" s="34" t="s">
        <v>111</v>
      </c>
      <c r="C33" s="167"/>
      <c r="D33" s="233"/>
      <c r="G33" s="15"/>
    </row>
    <row r="34" spans="1:7">
      <c r="A34" s="171" t="s">
        <v>73</v>
      </c>
      <c r="B34" s="33">
        <f>IF((($B$28-$B$32-$B$39-$B$77-$B$38)*C20/100)&lt;0,0,($B$28-$B$32-$B$39-$B$77-$B$38)*C20/100)</f>
        <v>135.52236286919833</v>
      </c>
      <c r="C34" s="167">
        <f>IF(ISERROR(B34/SUM($B$32,$B$34,$B$35,$B$36,$B$38,$B$39)*100),0,B34/SUM($B$32,$B$34,$B$35,$B$36,$B$38,$B$39)*100)</f>
        <v>2.326164827826954</v>
      </c>
      <c r="D34" s="233"/>
      <c r="G34" s="15"/>
    </row>
    <row r="35" spans="1:7">
      <c r="A35" s="171" t="s">
        <v>74</v>
      </c>
      <c r="B35" s="33">
        <f>IF((($B$28-$B$32-$B$39-$B$77-$B$38)*C21/100)&lt;0,0,($B$28-$B$32-$B$39-$B$77-$B$38)*C21/100)</f>
        <v>827.65443037974694</v>
      </c>
      <c r="C35" s="167">
        <f>IF(ISERROR(B35/SUM($B$32,$B$34,$B$35,$B$36,$B$38,$B$39)*100),0,B35/SUM($B$32,$B$34,$B$35,$B$36,$B$38,$B$39)*100)</f>
        <v>14.206220912800324</v>
      </c>
      <c r="D35" s="233"/>
      <c r="G35" s="15"/>
    </row>
    <row r="36" spans="1:7">
      <c r="A36" s="171" t="s">
        <v>75</v>
      </c>
      <c r="B36" s="33">
        <f>IF((($B$28-$B$32-$B$39-$B$77-$B$38)*C22/100)&lt;0,0,($B$28-$B$32-$B$39-$B$77-$B$38)*C22/100)</f>
        <v>183.92320675105489</v>
      </c>
      <c r="C36" s="167">
        <f>IF(ISERROR(B36/SUM($B$32,$B$34,$B$35,$B$36,$B$38,$B$39)*100),0,B36/SUM($B$32,$B$34,$B$35,$B$36,$B$38,$B$39)*100)</f>
        <v>3.1569379806222946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718.89999999999986</v>
      </c>
      <c r="C39" s="167">
        <f>IF(ISERROR(B39/SUM($B$32,$B$34,$B$35,$B$36,$B$38,$B$39)*100),0,B39/SUM($B$32,$B$34,$B$35,$B$36,$B$38,$B$39)*100)</f>
        <v>12.339512530037759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3960</v>
      </c>
      <c r="C44" s="34" t="s">
        <v>111</v>
      </c>
      <c r="D44" s="174"/>
    </row>
    <row r="45" spans="1:7">
      <c r="A45" s="171" t="s">
        <v>72</v>
      </c>
      <c r="B45" s="33" t="str">
        <f t="shared" si="0"/>
        <v>-</v>
      </c>
      <c r="C45" s="34" t="s">
        <v>111</v>
      </c>
      <c r="D45" s="174"/>
    </row>
    <row r="46" spans="1:7">
      <c r="A46" s="171" t="s">
        <v>73</v>
      </c>
      <c r="B46" s="33">
        <f t="shared" si="0"/>
        <v>135.52236286919833</v>
      </c>
      <c r="C46" s="34" t="s">
        <v>111</v>
      </c>
      <c r="D46" s="174"/>
    </row>
    <row r="47" spans="1:7">
      <c r="A47" s="171" t="s">
        <v>74</v>
      </c>
      <c r="B47" s="33">
        <f t="shared" si="0"/>
        <v>827.65443037974694</v>
      </c>
      <c r="C47" s="34" t="s">
        <v>111</v>
      </c>
      <c r="D47" s="174"/>
    </row>
    <row r="48" spans="1:7">
      <c r="A48" s="171" t="s">
        <v>75</v>
      </c>
      <c r="B48" s="33">
        <f t="shared" si="0"/>
        <v>183.92320675105489</v>
      </c>
      <c r="C48" s="33">
        <f>B48*10</f>
        <v>1839.2320675105489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718.89999999999986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16000.803000000002</v>
      </c>
      <c r="C5" s="17">
        <f>IF(ISERROR('Eigen informatie GS &amp; warmtenet'!B58),0,'Eigen informatie GS &amp; warmtenet'!B58)</f>
        <v>0</v>
      </c>
      <c r="D5" s="30">
        <f>SUM(D6:D12)</f>
        <v>15299.429046000001</v>
      </c>
      <c r="E5" s="17">
        <f>SUM(E6:E12)</f>
        <v>293.31870515082545</v>
      </c>
      <c r="F5" s="17">
        <f>SUM(F6:F12)</f>
        <v>3992.31135366131</v>
      </c>
      <c r="G5" s="18"/>
      <c r="H5" s="17"/>
      <c r="I5" s="17"/>
      <c r="J5" s="17">
        <f>SUM(J6:J12)</f>
        <v>0</v>
      </c>
      <c r="K5" s="17"/>
      <c r="L5" s="17"/>
      <c r="M5" s="17"/>
      <c r="N5" s="17">
        <f>SUM(N6:N12)</f>
        <v>1583.5203136620155</v>
      </c>
      <c r="O5" s="17">
        <f>B38*B39*B40</f>
        <v>0</v>
      </c>
      <c r="P5" s="17">
        <f>B46*B47*B48/1000-B46*B47*B48/1000/B49</f>
        <v>19.066666666666666</v>
      </c>
      <c r="R5" s="32"/>
    </row>
    <row r="6" spans="1:18">
      <c r="A6" s="32" t="s">
        <v>54</v>
      </c>
      <c r="B6" s="37">
        <f>B26</f>
        <v>6506.5950000000003</v>
      </c>
      <c r="C6" s="33"/>
      <c r="D6" s="37">
        <f>IF(ISERROR(TER_kantoor_gas_kWh/1000),0,TER_kantoor_gas_kWh/1000)*0.902</f>
        <v>6097.9295080000002</v>
      </c>
      <c r="E6" s="33">
        <f>$C$26*'E Balans VL '!I12/100/3.6*1000000</f>
        <v>85.179343512838145</v>
      </c>
      <c r="F6" s="33">
        <f>$C$26*('E Balans VL '!L12+'E Balans VL '!N12)/100/3.6*1000000</f>
        <v>1659.1144883588881</v>
      </c>
      <c r="G6" s="34"/>
      <c r="H6" s="33"/>
      <c r="I6" s="33"/>
      <c r="J6" s="33">
        <f>$C$26*('E Balans VL '!D12+'E Balans VL '!E12)/100/3.6*1000000</f>
        <v>0</v>
      </c>
      <c r="K6" s="33"/>
      <c r="L6" s="33"/>
      <c r="M6" s="33"/>
      <c r="N6" s="33">
        <f>$C$26*'E Balans VL '!Y12/100/3.6*1000000</f>
        <v>6.5285056101509928</v>
      </c>
      <c r="O6" s="33"/>
      <c r="P6" s="33"/>
      <c r="R6" s="32"/>
    </row>
    <row r="7" spans="1:18">
      <c r="A7" s="32" t="s">
        <v>53</v>
      </c>
      <c r="B7" s="37">
        <f t="shared" ref="B7:B12" si="0">B27</f>
        <v>1278.5820000000001</v>
      </c>
      <c r="C7" s="33"/>
      <c r="D7" s="37">
        <f>IF(ISERROR(TER_horeca_gas_kWh/1000),0,TER_horeca_gas_kWh/1000)*0.902</f>
        <v>1834.7825540000001</v>
      </c>
      <c r="E7" s="33">
        <f>$C$27*'E Balans VL '!I9/100/3.6*1000000</f>
        <v>42.313286846592646</v>
      </c>
      <c r="F7" s="33">
        <f>$C$27*('E Balans VL '!L9+'E Balans VL '!N9)/100/3.6*1000000</f>
        <v>549.78535988023316</v>
      </c>
      <c r="G7" s="34"/>
      <c r="H7" s="33"/>
      <c r="I7" s="33"/>
      <c r="J7" s="33">
        <f>$C$27*('E Balans VL '!D9+'E Balans VL '!E9)/100/3.6*1000000</f>
        <v>0</v>
      </c>
      <c r="K7" s="33"/>
      <c r="L7" s="33"/>
      <c r="M7" s="33"/>
      <c r="N7" s="33">
        <f>$C$27*'E Balans VL '!Y9/100/3.6*1000000</f>
        <v>0.30777325444820425</v>
      </c>
      <c r="O7" s="33"/>
      <c r="P7" s="33"/>
      <c r="R7" s="32"/>
    </row>
    <row r="8" spans="1:18">
      <c r="A8" s="6" t="s">
        <v>52</v>
      </c>
      <c r="B8" s="37">
        <f t="shared" si="0"/>
        <v>5132.7219999999998</v>
      </c>
      <c r="C8" s="33"/>
      <c r="D8" s="37">
        <f>IF(ISERROR(TER_handel_gas_kWh/1000),0,TER_handel_gas_kWh/1000)*0.902</f>
        <v>3097.1847720000001</v>
      </c>
      <c r="E8" s="33">
        <f>$C$28*'E Balans VL '!I13/100/3.6*1000000</f>
        <v>161.99654888576958</v>
      </c>
      <c r="F8" s="33">
        <f>$C$28*('E Balans VL '!L13+'E Balans VL '!N13)/100/3.6*1000000</f>
        <v>1006.6171658230313</v>
      </c>
      <c r="G8" s="34"/>
      <c r="H8" s="33"/>
      <c r="I8" s="33"/>
      <c r="J8" s="33">
        <f>$C$28*('E Balans VL '!D13+'E Balans VL '!E13)/100/3.6*1000000</f>
        <v>0</v>
      </c>
      <c r="K8" s="33"/>
      <c r="L8" s="33"/>
      <c r="M8" s="33"/>
      <c r="N8" s="33">
        <f>$C$28*'E Balans VL '!Y13/100/3.6*1000000</f>
        <v>6.091544508257269</v>
      </c>
      <c r="O8" s="33"/>
      <c r="P8" s="33"/>
      <c r="R8" s="32"/>
    </row>
    <row r="9" spans="1:18">
      <c r="A9" s="32" t="s">
        <v>51</v>
      </c>
      <c r="B9" s="37">
        <f t="shared" si="0"/>
        <v>667.29</v>
      </c>
      <c r="C9" s="33"/>
      <c r="D9" s="37">
        <f>IF(ISERROR(TER_gezond_gas_kWh/1000),0,TER_gezond_gas_kWh/1000)*0.902</f>
        <v>2060.0859180000002</v>
      </c>
      <c r="E9" s="33">
        <f>$C$29*'E Balans VL '!I10/100/3.6*1000000</f>
        <v>8.5432641135812601E-2</v>
      </c>
      <c r="F9" s="33">
        <f>$C$29*('E Balans VL '!L10+'E Balans VL '!N10)/100/3.6*1000000</f>
        <v>139.02447568704505</v>
      </c>
      <c r="G9" s="34"/>
      <c r="H9" s="33"/>
      <c r="I9" s="33"/>
      <c r="J9" s="33">
        <f>$C$29*('E Balans VL '!D10+'E Balans VL '!E10)/100/3.6*1000000</f>
        <v>0</v>
      </c>
      <c r="K9" s="33"/>
      <c r="L9" s="33"/>
      <c r="M9" s="33"/>
      <c r="N9" s="33">
        <f>$C$29*'E Balans VL '!Y10/100/3.6*1000000</f>
        <v>7.8376364527186775</v>
      </c>
      <c r="O9" s="33"/>
      <c r="P9" s="33"/>
      <c r="R9" s="32"/>
    </row>
    <row r="10" spans="1:18">
      <c r="A10" s="32" t="s">
        <v>50</v>
      </c>
      <c r="B10" s="37">
        <f t="shared" si="0"/>
        <v>1981.9970000000001</v>
      </c>
      <c r="C10" s="33"/>
      <c r="D10" s="37">
        <f>IF(ISERROR(TER_ander_gas_kWh/1000),0,TER_ander_gas_kWh/1000)*0.902</f>
        <v>1071.2260240000001</v>
      </c>
      <c r="E10" s="33">
        <f>$C$30*'E Balans VL '!I14/100/3.6*1000000</f>
        <v>2.9804573905102387</v>
      </c>
      <c r="F10" s="33">
        <f>$C$30*('E Balans VL '!L14+'E Balans VL '!N14)/100/3.6*1000000</f>
        <v>437.56104872547456</v>
      </c>
      <c r="G10" s="34"/>
      <c r="H10" s="33"/>
      <c r="I10" s="33"/>
      <c r="J10" s="33">
        <f>$C$30*('E Balans VL '!D14+'E Balans VL '!E14)/100/3.6*1000000</f>
        <v>0</v>
      </c>
      <c r="K10" s="33"/>
      <c r="L10" s="33"/>
      <c r="M10" s="33"/>
      <c r="N10" s="33">
        <f>$C$30*'E Balans VL '!Y14/100/3.6*1000000</f>
        <v>1561.9470193690468</v>
      </c>
      <c r="O10" s="33"/>
      <c r="P10" s="33"/>
      <c r="R10" s="32"/>
    </row>
    <row r="11" spans="1:18">
      <c r="A11" s="32" t="s">
        <v>55</v>
      </c>
      <c r="B11" s="37">
        <f t="shared" si="0"/>
        <v>433.61700000000002</v>
      </c>
      <c r="C11" s="33"/>
      <c r="D11" s="37">
        <f>IF(ISERROR(TER_onderwijs_gas_kWh/1000),0,TER_onderwijs_gas_kWh/1000)*0.902</f>
        <v>1138.22027</v>
      </c>
      <c r="E11" s="33">
        <f>$C$31*'E Balans VL '!I11/100/3.6*1000000</f>
        <v>0.76363587397899613</v>
      </c>
      <c r="F11" s="33">
        <f>$C$31*('E Balans VL '!L11+'E Balans VL '!N11)/100/3.6*1000000</f>
        <v>200.20881518663782</v>
      </c>
      <c r="G11" s="34"/>
      <c r="H11" s="33"/>
      <c r="I11" s="33"/>
      <c r="J11" s="33">
        <f>$C$31*('E Balans VL '!D11+'E Balans VL '!E11)/100/3.6*1000000</f>
        <v>0</v>
      </c>
      <c r="K11" s="33"/>
      <c r="L11" s="33"/>
      <c r="M11" s="33"/>
      <c r="N11" s="33">
        <f>$C$31*'E Balans VL '!Y11/100/3.6*1000000</f>
        <v>0.80783446739353815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16000.803000000002</v>
      </c>
      <c r="C16" s="21">
        <f t="shared" ca="1" si="1"/>
        <v>0</v>
      </c>
      <c r="D16" s="21">
        <f t="shared" ca="1" si="1"/>
        <v>15299.429046000001</v>
      </c>
      <c r="E16" s="21">
        <f t="shared" si="1"/>
        <v>293.31870515082545</v>
      </c>
      <c r="F16" s="21">
        <f t="shared" ca="1" si="1"/>
        <v>3992.31135366131</v>
      </c>
      <c r="G16" s="21">
        <f t="shared" si="1"/>
        <v>0</v>
      </c>
      <c r="H16" s="21">
        <f t="shared" si="1"/>
        <v>0</v>
      </c>
      <c r="I16" s="21">
        <f t="shared" si="1"/>
        <v>0</v>
      </c>
      <c r="J16" s="21">
        <f t="shared" si="1"/>
        <v>0</v>
      </c>
      <c r="K16" s="21">
        <f t="shared" si="1"/>
        <v>0</v>
      </c>
      <c r="L16" s="21">
        <f t="shared" ca="1" si="1"/>
        <v>0</v>
      </c>
      <c r="M16" s="21">
        <f t="shared" si="1"/>
        <v>0</v>
      </c>
      <c r="N16" s="21">
        <f t="shared" ca="1" si="1"/>
        <v>1583.5203136620155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0.20430231186123302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3269.0010445361531</v>
      </c>
      <c r="C20" s="23">
        <f t="shared" ref="C20:P20" ca="1" si="2">C16*C18</f>
        <v>0</v>
      </c>
      <c r="D20" s="23">
        <f t="shared" ca="1" si="2"/>
        <v>3090.4846672920003</v>
      </c>
      <c r="E20" s="23">
        <f t="shared" si="2"/>
        <v>66.583346069237379</v>
      </c>
      <c r="F20" s="23">
        <f t="shared" ca="1" si="2"/>
        <v>1065.9471314275697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6506.5950000000003</v>
      </c>
      <c r="C26" s="39">
        <f>IF(ISERROR(B26*3.6/1000000/'E Balans VL '!Z12*100),0,B26*3.6/1000000/'E Balans VL '!Z12*100)</f>
        <v>0.13937631967682487</v>
      </c>
      <c r="D26" s="237" t="s">
        <v>660</v>
      </c>
      <c r="F26" s="6"/>
    </row>
    <row r="27" spans="1:18">
      <c r="A27" s="231" t="s">
        <v>53</v>
      </c>
      <c r="B27" s="33">
        <f>IF(ISERROR(TER_horeca_ele_kWh/1000),0,TER_horeca_ele_kWh/1000)</f>
        <v>1278.5820000000001</v>
      </c>
      <c r="C27" s="39">
        <f>IF(ISERROR(B27*3.6/1000000/'E Balans VL '!Z9*100),0,B27*3.6/1000000/'E Balans VL '!Z9*100)</f>
        <v>0.10260176119433179</v>
      </c>
      <c r="D27" s="237" t="s">
        <v>660</v>
      </c>
      <c r="F27" s="6"/>
    </row>
    <row r="28" spans="1:18">
      <c r="A28" s="171" t="s">
        <v>52</v>
      </c>
      <c r="B28" s="33">
        <f>IF(ISERROR(TER_handel_ele_kWh/1000),0,TER_handel_ele_kWh/1000)</f>
        <v>5132.7219999999998</v>
      </c>
      <c r="C28" s="39">
        <f>IF(ISERROR(B28*3.6/1000000/'E Balans VL '!Z13*100),0,B28*3.6/1000000/'E Balans VL '!Z13*100)</f>
        <v>0.15138585888087897</v>
      </c>
      <c r="D28" s="237" t="s">
        <v>660</v>
      </c>
      <c r="F28" s="6"/>
    </row>
    <row r="29" spans="1:18">
      <c r="A29" s="231" t="s">
        <v>51</v>
      </c>
      <c r="B29" s="33">
        <f>IF(ISERROR(TER_gezond_ele_kWh/1000),0,TER_gezond_ele_kWh/1000)</f>
        <v>667.29</v>
      </c>
      <c r="C29" s="39">
        <f>IF(ISERROR(B29*3.6/1000000/'E Balans VL '!Z10*100),0,B29*3.6/1000000/'E Balans VL '!Z10*100)</f>
        <v>7.1248681284203683E-2</v>
      </c>
      <c r="D29" s="237" t="s">
        <v>660</v>
      </c>
      <c r="F29" s="6"/>
    </row>
    <row r="30" spans="1:18">
      <c r="A30" s="231" t="s">
        <v>50</v>
      </c>
      <c r="B30" s="33">
        <f>IF(ISERROR(TER_ander_ele_kWh/1000),0,TER_ander_ele_kWh/1000)</f>
        <v>1981.9970000000001</v>
      </c>
      <c r="C30" s="39">
        <f>IF(ISERROR(B30*3.6/1000000/'E Balans VL '!Z14*100),0,B30*3.6/1000000/'E Balans VL '!Z14*100)</f>
        <v>0.14970801639827916</v>
      </c>
      <c r="D30" s="237" t="s">
        <v>660</v>
      </c>
      <c r="F30" s="6"/>
    </row>
    <row r="31" spans="1:18">
      <c r="A31" s="231" t="s">
        <v>55</v>
      </c>
      <c r="B31" s="33">
        <f>IF(ISERROR(TER_onderwijs_ele_kWh/1000),0,TER_onderwijs_ele_kWh/1000)</f>
        <v>433.61700000000002</v>
      </c>
      <c r="C31" s="39">
        <f>IF(ISERROR(B31*3.6/1000000/'E Balans VL '!Z11*100),0,B31*3.6/1000000/'E Balans VL '!Z11*100)</f>
        <v>8.7561747553734318E-2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24734.440999999999</v>
      </c>
      <c r="C5" s="17">
        <f>IF(ISERROR('Eigen informatie GS &amp; warmtenet'!B59),0,'Eigen informatie GS &amp; warmtenet'!B59)</f>
        <v>0</v>
      </c>
      <c r="D5" s="30">
        <f>SUM(D6:D15)</f>
        <v>15477.204226</v>
      </c>
      <c r="E5" s="17">
        <f>SUM(E6:E15)</f>
        <v>1737.2039224897087</v>
      </c>
      <c r="F5" s="17">
        <f>SUM(F6:F15)</f>
        <v>9709.6057649658269</v>
      </c>
      <c r="G5" s="18"/>
      <c r="H5" s="17"/>
      <c r="I5" s="17"/>
      <c r="J5" s="17">
        <f>SUM(J6:J15)</f>
        <v>43.008186349217915</v>
      </c>
      <c r="K5" s="17"/>
      <c r="L5" s="17"/>
      <c r="M5" s="17"/>
      <c r="N5" s="17">
        <f>SUM(N6:N15)</f>
        <v>6560.2671453997718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7253.92</v>
      </c>
      <c r="C8" s="33"/>
      <c r="D8" s="37">
        <f>IF( ISERROR(IND_metaal_Gas_kWH/1000),0,IND_metaal_Gas_kWH/1000)*0.902</f>
        <v>3990.1683799999996</v>
      </c>
      <c r="E8" s="33">
        <f>C30*'E Balans VL '!I18/100/3.6*1000000</f>
        <v>261.01798619558036</v>
      </c>
      <c r="F8" s="33">
        <f>C30*'E Balans VL '!L18/100/3.6*1000000+C30*'E Balans VL '!N18/100/3.6*1000000</f>
        <v>3167.5517172130121</v>
      </c>
      <c r="G8" s="34"/>
      <c r="H8" s="33"/>
      <c r="I8" s="33"/>
      <c r="J8" s="40">
        <f>C30*'E Balans VL '!D18/100/3.6*1000000+C30*'E Balans VL '!E18/100/3.6*1000000</f>
        <v>0</v>
      </c>
      <c r="K8" s="33"/>
      <c r="L8" s="33"/>
      <c r="M8" s="33"/>
      <c r="N8" s="33">
        <f>C30*'E Balans VL '!Y18/100/3.6*1000000</f>
        <v>363.56154083902567</v>
      </c>
      <c r="O8" s="33"/>
      <c r="P8" s="33"/>
      <c r="R8" s="32"/>
    </row>
    <row r="9" spans="1:18">
      <c r="A9" s="6" t="s">
        <v>33</v>
      </c>
      <c r="B9" s="37">
        <f t="shared" si="0"/>
        <v>4634.4870000000001</v>
      </c>
      <c r="C9" s="33"/>
      <c r="D9" s="37">
        <f>IF( ISERROR(IND_andere_gas_kWh/1000),0,IND_andere_gas_kWh/1000)*0.902</f>
        <v>1903.507738</v>
      </c>
      <c r="E9" s="33">
        <f>C31*'E Balans VL '!I19/100/3.6*1000000</f>
        <v>1182.6162241946556</v>
      </c>
      <c r="F9" s="33">
        <f>C31*'E Balans VL '!L19/100/3.6*1000000+C31*'E Balans VL '!N19/100/3.6*1000000</f>
        <v>3989.9449654147224</v>
      </c>
      <c r="G9" s="34"/>
      <c r="H9" s="33"/>
      <c r="I9" s="33"/>
      <c r="J9" s="40">
        <f>C31*'E Balans VL '!D19/100/3.6*1000000+C31*'E Balans VL '!E19/100/3.6*1000000</f>
        <v>0</v>
      </c>
      <c r="K9" s="33"/>
      <c r="L9" s="33"/>
      <c r="M9" s="33"/>
      <c r="N9" s="33">
        <f>C31*'E Balans VL '!Y19/100/3.6*1000000</f>
        <v>1449.3627995037907</v>
      </c>
      <c r="O9" s="33"/>
      <c r="P9" s="33"/>
      <c r="R9" s="32"/>
    </row>
    <row r="10" spans="1:18">
      <c r="A10" s="6" t="s">
        <v>41</v>
      </c>
      <c r="B10" s="37">
        <f t="shared" si="0"/>
        <v>9692.366</v>
      </c>
      <c r="C10" s="33"/>
      <c r="D10" s="37">
        <f>IF( ISERROR(IND_voed_gas_kWh/1000),0,IND_voed_gas_kWh/1000)*0.902</f>
        <v>8783.7283160000006</v>
      </c>
      <c r="E10" s="33">
        <f>C32*'E Balans VL '!I20/100/3.6*1000000</f>
        <v>246.39325242914424</v>
      </c>
      <c r="F10" s="33">
        <f>C32*'E Balans VL '!L20/100/3.6*1000000+C32*'E Balans VL '!N20/100/3.6*1000000</f>
        <v>2193.2369308388465</v>
      </c>
      <c r="G10" s="34"/>
      <c r="H10" s="33"/>
      <c r="I10" s="33"/>
      <c r="J10" s="40">
        <f>C32*'E Balans VL '!D20/100/3.6*1000000+C32*'E Balans VL '!E20/100/3.6*1000000</f>
        <v>0</v>
      </c>
      <c r="K10" s="33"/>
      <c r="L10" s="33"/>
      <c r="M10" s="33"/>
      <c r="N10" s="33">
        <f>C32*'E Balans VL '!Y20/100/3.6*1000000</f>
        <v>3634.8999719142439</v>
      </c>
      <c r="O10" s="33"/>
      <c r="P10" s="33"/>
      <c r="R10" s="32"/>
    </row>
    <row r="11" spans="1:18">
      <c r="A11" s="6" t="s">
        <v>40</v>
      </c>
      <c r="B11" s="37">
        <f t="shared" si="0"/>
        <v>156.535</v>
      </c>
      <c r="C11" s="33"/>
      <c r="D11" s="37">
        <f>IF( ISERROR(IND_textiel_gas_kWh/1000),0,IND_textiel_gas_kWh/1000)*0.902</f>
        <v>0</v>
      </c>
      <c r="E11" s="33">
        <f>C33*'E Balans VL '!I21/100/3.6*1000000</f>
        <v>0.42973067083835381</v>
      </c>
      <c r="F11" s="33">
        <f>C33*'E Balans VL '!L21/100/3.6*1000000+C33*'E Balans VL '!N21/100/3.6*1000000</f>
        <v>8.2988333345951428</v>
      </c>
      <c r="G11" s="34"/>
      <c r="H11" s="33"/>
      <c r="I11" s="33"/>
      <c r="J11" s="40">
        <f>C33*'E Balans VL '!D21/100/3.6*1000000+C33*'E Balans VL '!E21/100/3.6*1000000</f>
        <v>0</v>
      </c>
      <c r="K11" s="33"/>
      <c r="L11" s="33"/>
      <c r="M11" s="33"/>
      <c r="N11" s="33">
        <f>C33*'E Balans VL '!Y21/100/3.6*1000000</f>
        <v>0.31460944618022951</v>
      </c>
      <c r="O11" s="33"/>
      <c r="P11" s="33"/>
      <c r="R11" s="32"/>
    </row>
    <row r="12" spans="1:18">
      <c r="A12" s="6" t="s">
        <v>37</v>
      </c>
      <c r="B12" s="37">
        <f t="shared" si="0"/>
        <v>2037.838</v>
      </c>
      <c r="C12" s="33"/>
      <c r="D12" s="37">
        <f>IF( ISERROR(IND_min_gas_kWh/1000),0,IND_min_gas_kWh/1000)*0.902</f>
        <v>0</v>
      </c>
      <c r="E12" s="33">
        <f>C34*'E Balans VL '!I22/100/3.6*1000000</f>
        <v>43.298950225133872</v>
      </c>
      <c r="F12" s="33">
        <f>C34*'E Balans VL '!L22/100/3.6*1000000+C34*'E Balans VL '!N22/100/3.6*1000000</f>
        <v>332.49063635639845</v>
      </c>
      <c r="G12" s="34"/>
      <c r="H12" s="33"/>
      <c r="I12" s="33"/>
      <c r="J12" s="40">
        <f>C34*'E Balans VL '!D22/100/3.6*1000000+C34*'E Balans VL '!E22/100/3.6*1000000</f>
        <v>2.3742714420854321</v>
      </c>
      <c r="K12" s="33"/>
      <c r="L12" s="33"/>
      <c r="M12" s="33"/>
      <c r="N12" s="33">
        <f>C34*'E Balans VL '!Y22/100/3.6*1000000</f>
        <v>0</v>
      </c>
      <c r="O12" s="33"/>
      <c r="P12" s="33"/>
      <c r="R12" s="32"/>
    </row>
    <row r="13" spans="1:18">
      <c r="A13" s="6" t="s">
        <v>39</v>
      </c>
      <c r="B13" s="37">
        <f t="shared" si="0"/>
        <v>606.97900000000004</v>
      </c>
      <c r="C13" s="33"/>
      <c r="D13" s="37">
        <f>IF( ISERROR(IND_papier_gas_kWh/1000),0,IND_papier_gas_kWh/1000)*0.902</f>
        <v>0</v>
      </c>
      <c r="E13" s="33">
        <f>C35*'E Balans VL '!I23/100/3.6*1000000</f>
        <v>2.603156350014646</v>
      </c>
      <c r="F13" s="33">
        <f>C35*'E Balans VL '!L23/100/3.6*1000000+C35*'E Balans VL '!N23/100/3.6*1000000</f>
        <v>15.255266212884116</v>
      </c>
      <c r="G13" s="34"/>
      <c r="H13" s="33"/>
      <c r="I13" s="33"/>
      <c r="J13" s="40">
        <f>C35*'E Balans VL '!D23/100/3.6*1000000+C35*'E Balans VL '!E23/100/3.6*1000000</f>
        <v>40.633914907132485</v>
      </c>
      <c r="K13" s="33"/>
      <c r="L13" s="33"/>
      <c r="M13" s="33"/>
      <c r="N13" s="33">
        <f>C35*'E Balans VL '!Y23/100/3.6*1000000</f>
        <v>1104.8461251133081</v>
      </c>
      <c r="O13" s="33"/>
      <c r="P13" s="33"/>
      <c r="R13" s="32"/>
    </row>
    <row r="14" spans="1:18">
      <c r="A14" s="6" t="s">
        <v>34</v>
      </c>
      <c r="B14" s="37">
        <f t="shared" si="0"/>
        <v>352.31599999999997</v>
      </c>
      <c r="C14" s="33"/>
      <c r="D14" s="37">
        <f>IF( ISERROR(IND_chemie_gas_kWh/1000),0,IND_chemie_gas_kWh/1000)*0.902</f>
        <v>0</v>
      </c>
      <c r="E14" s="33">
        <f>C36*'E Balans VL '!I24/100/3.6*1000000</f>
        <v>0.84462242434169366</v>
      </c>
      <c r="F14" s="33">
        <f>C36*'E Balans VL '!L24/100/3.6*1000000+C36*'E Balans VL '!N24/100/3.6*1000000</f>
        <v>2.8274155953691471</v>
      </c>
      <c r="G14" s="34"/>
      <c r="H14" s="33"/>
      <c r="I14" s="33"/>
      <c r="J14" s="40">
        <f>C36*'E Balans VL '!D24/100/3.6*1000000+C36*'E Balans VL '!E24/100/3.6*1000000</f>
        <v>0</v>
      </c>
      <c r="K14" s="33"/>
      <c r="L14" s="33"/>
      <c r="M14" s="33"/>
      <c r="N14" s="33">
        <f>C36*'E Balans VL '!Y24/100/3.6*1000000</f>
        <v>7.2820985832238572</v>
      </c>
      <c r="O14" s="33"/>
      <c r="P14" s="33"/>
      <c r="R14" s="32"/>
    </row>
    <row r="15" spans="1:18">
      <c r="A15" s="6" t="s">
        <v>270</v>
      </c>
      <c r="B15" s="37">
        <f t="shared" si="0"/>
        <v>0</v>
      </c>
      <c r="C15" s="33"/>
      <c r="D15" s="37">
        <f>IF( ISERROR(IND_rest_gas_kWh/1000),0,IND_rest_gas_kWh/1000)*0.902</f>
        <v>799.79979200000002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24734.440999999999</v>
      </c>
      <c r="C18" s="21">
        <f>C5+C16</f>
        <v>0</v>
      </c>
      <c r="D18" s="21">
        <f>MAX((D5+D16),0)</f>
        <v>15477.204226</v>
      </c>
      <c r="E18" s="21">
        <f>MAX((E5+E16),0)</f>
        <v>1737.2039224897087</v>
      </c>
      <c r="F18" s="21">
        <f>MAX((F5+F16),0)</f>
        <v>9709.6057649658269</v>
      </c>
      <c r="G18" s="21"/>
      <c r="H18" s="21"/>
      <c r="I18" s="21"/>
      <c r="J18" s="21">
        <f>MAX((J5+J16),0)</f>
        <v>43.008186349217915</v>
      </c>
      <c r="K18" s="21"/>
      <c r="L18" s="21">
        <f>MAX((L5+L16),0)</f>
        <v>0</v>
      </c>
      <c r="M18" s="21"/>
      <c r="N18" s="21">
        <f>MAX((N5+N16),0)</f>
        <v>6560.2671453997718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0.20430231186123302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5053.3034788952682</v>
      </c>
      <c r="C22" s="23">
        <f ca="1">C18*C20</f>
        <v>0</v>
      </c>
      <c r="D22" s="23">
        <f>D18*D20</f>
        <v>3126.3952536520001</v>
      </c>
      <c r="E22" s="23">
        <f>E18*E20</f>
        <v>394.34529040516389</v>
      </c>
      <c r="F22" s="23">
        <f>F18*F20</f>
        <v>2592.464739245876</v>
      </c>
      <c r="G22" s="23"/>
      <c r="H22" s="23"/>
      <c r="I22" s="23"/>
      <c r="J22" s="23">
        <f>J18*J20</f>
        <v>15.224897967623141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7253.92</v>
      </c>
      <c r="C30" s="39">
        <f>IF(ISERROR(B30*3.6/1000000/'E Balans VL '!Z18*100),0,B30*3.6/1000000/'E Balans VL '!Z18*100)</f>
        <v>1.5369501280540128</v>
      </c>
      <c r="D30" s="237" t="s">
        <v>660</v>
      </c>
    </row>
    <row r="31" spans="1:18">
      <c r="A31" s="6" t="s">
        <v>33</v>
      </c>
      <c r="B31" s="37">
        <f>IF( ISERROR(IND_ander_ele_kWh/1000),0,IND_ander_ele_kWh/1000)</f>
        <v>4634.4870000000001</v>
      </c>
      <c r="C31" s="39">
        <f>IF(ISERROR(B31*3.6/1000000/'E Balans VL '!Z19*100),0,B31*3.6/1000000/'E Balans VL '!Z19*100)</f>
        <v>0.19507608119805506</v>
      </c>
      <c r="D31" s="237" t="s">
        <v>660</v>
      </c>
    </row>
    <row r="32" spans="1:18">
      <c r="A32" s="171" t="s">
        <v>41</v>
      </c>
      <c r="B32" s="37">
        <f>IF( ISERROR(IND_voed_ele_kWh/1000),0,IND_voed_ele_kWh/1000)</f>
        <v>9692.366</v>
      </c>
      <c r="C32" s="39">
        <f>IF(ISERROR(B32*3.6/1000000/'E Balans VL '!Z20*100),0,B32*3.6/1000000/'E Balans VL '!Z20*100)</f>
        <v>1.6192194018791313</v>
      </c>
      <c r="D32" s="237" t="s">
        <v>660</v>
      </c>
    </row>
    <row r="33" spans="1:5">
      <c r="A33" s="171" t="s">
        <v>40</v>
      </c>
      <c r="B33" s="37">
        <f>IF( ISERROR(IND_textiel_ele_kWh/1000),0,IND_textiel_ele_kWh/1000)</f>
        <v>156.535</v>
      </c>
      <c r="C33" s="39">
        <f>IF(ISERROR(B33*3.6/1000000/'E Balans VL '!Z21*100),0,B33*3.6/1000000/'E Balans VL '!Z21*100)</f>
        <v>9.1389817336304888E-3</v>
      </c>
      <c r="D33" s="237" t="s">
        <v>660</v>
      </c>
    </row>
    <row r="34" spans="1:5">
      <c r="A34" s="171" t="s">
        <v>37</v>
      </c>
      <c r="B34" s="37">
        <f>IF( ISERROR(IND_min_ele_kWh/1000),0,IND_min_ele_kWh/1000)</f>
        <v>2037.838</v>
      </c>
      <c r="C34" s="39">
        <f>IF(ISERROR(B34*3.6/1000000/'E Balans VL '!Z22*100),0,B34*3.6/1000000/'E Balans VL '!Z22*100)</f>
        <v>0.25830695652787533</v>
      </c>
      <c r="D34" s="237" t="s">
        <v>660</v>
      </c>
    </row>
    <row r="35" spans="1:5">
      <c r="A35" s="171" t="s">
        <v>39</v>
      </c>
      <c r="B35" s="37">
        <f>IF( ISERROR(IND_papier_ele_kWh/1000),0,IND_papier_ele_kWh/1000)</f>
        <v>606.97900000000004</v>
      </c>
      <c r="C35" s="39">
        <f>IF(ISERROR(B35*3.6/1000000/'E Balans VL '!Z22*100),0,B35*3.6/1000000/'E Balans VL '!Z22*100)</f>
        <v>7.6937861678079061E-2</v>
      </c>
      <c r="D35" s="237" t="s">
        <v>660</v>
      </c>
    </row>
    <row r="36" spans="1:5">
      <c r="A36" s="171" t="s">
        <v>34</v>
      </c>
      <c r="B36" s="37">
        <f>IF( ISERROR(IND_chemie_ele_kWh/1000),0,IND_chemie_ele_kWh/1000)</f>
        <v>352.31599999999997</v>
      </c>
      <c r="C36" s="39">
        <f>IF(ISERROR(B36*3.6/1000000/'E Balans VL '!Z24*100),0,B36*3.6/1000000/'E Balans VL '!Z24*100)</f>
        <v>1.144323504138706E-2</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2035.018</v>
      </c>
      <c r="C5" s="17">
        <f>'Eigen informatie GS &amp; warmtenet'!B60</f>
        <v>0</v>
      </c>
      <c r="D5" s="30">
        <f>IF(ISERROR(SUM(LB_lb_gas_kWh,LB_rest_gas_kWh,onbekend_gas_kWh)/1000),0,SUM(LB_lb_gas_kWh,LB_rest_gas_kWh,onbekend_gas_kWh)/1000)*0.902</f>
        <v>3703.0482500000003</v>
      </c>
      <c r="E5" s="17">
        <f>B17*'E Balans VL '!I25/3.6*1000000/100</f>
        <v>52.475300654243505</v>
      </c>
      <c r="F5" s="17">
        <f>B17*('E Balans VL '!L25/3.6*1000000+'E Balans VL '!N25/3.6*1000000)/100</f>
        <v>7438.378340352011</v>
      </c>
      <c r="G5" s="18"/>
      <c r="H5" s="17"/>
      <c r="I5" s="17"/>
      <c r="J5" s="17">
        <f>('E Balans VL '!D25+'E Balans VL '!E25)/3.6*1000000*landbouw!B17/100</f>
        <v>292.96773049069435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2035.018</v>
      </c>
      <c r="C8" s="21">
        <f>C5+C6</f>
        <v>0</v>
      </c>
      <c r="D8" s="21">
        <f>MAX((D5+D6),0)</f>
        <v>3703.0482500000003</v>
      </c>
      <c r="E8" s="21">
        <f>MAX((E5+E6),0)</f>
        <v>52.475300654243505</v>
      </c>
      <c r="F8" s="21">
        <f>MAX((F5+F6),0)</f>
        <v>7438.378340352011</v>
      </c>
      <c r="G8" s="21"/>
      <c r="H8" s="21"/>
      <c r="I8" s="21"/>
      <c r="J8" s="21">
        <f>MAX((J5+J6),0)</f>
        <v>292.96773049069435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0.20430231186123302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415.7588820792227</v>
      </c>
      <c r="C12" s="23">
        <f ca="1">C8*C10</f>
        <v>0</v>
      </c>
      <c r="D12" s="23">
        <f>D8*D10</f>
        <v>748.01574650000009</v>
      </c>
      <c r="E12" s="23">
        <f>E8*E10</f>
        <v>11.911893248513277</v>
      </c>
      <c r="F12" s="23">
        <f>F8*F10</f>
        <v>1986.0470168739871</v>
      </c>
      <c r="G12" s="23"/>
      <c r="H12" s="23"/>
      <c r="I12" s="23"/>
      <c r="J12" s="23">
        <f>J8*J10</f>
        <v>103.7105765937058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0.28695101765697933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326.63185264958929</v>
      </c>
      <c r="C26" s="247">
        <f>B26*'GWP N2O_CH4'!B5</f>
        <v>6859.2689056413747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162.03047542860904</v>
      </c>
      <c r="C27" s="247">
        <f>B27*'GWP N2O_CH4'!B5</f>
        <v>3402.6399840007898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4.1676385906396787</v>
      </c>
      <c r="C28" s="247">
        <f>B28*'GWP N2O_CH4'!B4</f>
        <v>1291.9679630983003</v>
      </c>
      <c r="D28" s="50"/>
    </row>
    <row r="29" spans="1:4">
      <c r="A29" s="41" t="s">
        <v>277</v>
      </c>
      <c r="B29" s="247">
        <f>B34*'ha_N2O bodem landbouw'!B4</f>
        <v>12.34854743839543</v>
      </c>
      <c r="C29" s="247">
        <f>B29*'GWP N2O_CH4'!B4</f>
        <v>3828.0497059025834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2.7790942132269098E-3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4.5421118545266151E-5</v>
      </c>
      <c r="C5" s="463" t="s">
        <v>211</v>
      </c>
      <c r="D5" s="448">
        <f>SUM(D6:D11)</f>
        <v>1.0984424036171946E-4</v>
      </c>
      <c r="E5" s="448">
        <f>SUM(E6:E11)</f>
        <v>4.1895906558758701E-4</v>
      </c>
      <c r="F5" s="461" t="s">
        <v>211</v>
      </c>
      <c r="G5" s="448">
        <f>SUM(G6:G11)</f>
        <v>0.13634006862410916</v>
      </c>
      <c r="H5" s="448">
        <f>SUM(H6:H11)</f>
        <v>2.938088499898852E-2</v>
      </c>
      <c r="I5" s="463" t="s">
        <v>211</v>
      </c>
      <c r="J5" s="463" t="s">
        <v>211</v>
      </c>
      <c r="K5" s="463" t="s">
        <v>211</v>
      </c>
      <c r="L5" s="463" t="s">
        <v>211</v>
      </c>
      <c r="M5" s="448">
        <f>SUM(M6:M11)</f>
        <v>5.1757734559038995E-3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3.2626681435631395E-5</v>
      </c>
      <c r="C6" s="449"/>
      <c r="D6" s="962">
        <f>vkm_2011_GW_PW*SUMIFS(TableVerdeelsleutelVkm[CNG],TableVerdeelsleutelVkm[Voertuigtype],"Lichte voertuigen")*SUMIFS(TableECFTransport[EnergieConsumptieFactor (PJ per km)],TableECFTransport[Index],CONCATENATE($A6,"_CNG_CNG"))</f>
        <v>6.4829787518989309E-5</v>
      </c>
      <c r="E6" s="962">
        <f>vkm_2011_GW_PW*SUMIFS(TableVerdeelsleutelVkm[LPG],TableVerdeelsleutelVkm[Voertuigtype],"Lichte voertuigen")*SUMIFS(TableECFTransport[EnergieConsumptieFactor (PJ per km)],TableECFTransport[Index],CONCATENATE($A6,"_LPG_LPG"))</f>
        <v>2.5512845362389406E-4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6.0660792304059463E-2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1.7551373842429545E-2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2.4371633192947859E-3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3.1386287526975525E-2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1.0139111489649644E-5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9.8893389656765779E-4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1.2794437109634754E-5</v>
      </c>
      <c r="C8" s="449"/>
      <c r="D8" s="451">
        <f>vkm_2011_NGW_PW*SUMIFS(TableVerdeelsleutelVkm[CNG],TableVerdeelsleutelVkm[Voertuigtype],"Lichte voertuigen")*SUMIFS(TableECFTransport[EnergieConsumptieFactor (PJ per km)],TableECFTransport[Index],CONCATENATE($A8,"_CNG_CNG"))</f>
        <v>4.5014452842730151E-5</v>
      </c>
      <c r="E8" s="451">
        <f>vkm_2011_NGW_PW*SUMIFS(TableVerdeelsleutelVkm[LPG],TableVerdeelsleutelVkm[Voertuigtype],"Lichte voertuigen")*SUMIFS(TableECFTransport[EnergieConsumptieFactor (PJ per km)],TableECFTransport[Index],CONCATENATE($A8,"_LPG_LPG"))</f>
        <v>1.6383061196369297E-4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3.6375001302116065E-2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1.181695303275339E-2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1.500196733459464E-3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7.9179874909580897E-3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2.4190123159378086E-6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2.4947950658199178E-4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12.616977373685042</v>
      </c>
      <c r="C14" s="21"/>
      <c r="D14" s="21">
        <f t="shared" ref="D14:M14" si="0">((D5)*10^9/3600)+D12</f>
        <v>30.512288989366517</v>
      </c>
      <c r="E14" s="21">
        <f t="shared" si="0"/>
        <v>116.37751821877417</v>
      </c>
      <c r="F14" s="21"/>
      <c r="G14" s="21">
        <f t="shared" si="0"/>
        <v>37872.241284474767</v>
      </c>
      <c r="H14" s="21">
        <f t="shared" si="0"/>
        <v>8161.3569441634781</v>
      </c>
      <c r="I14" s="21"/>
      <c r="J14" s="21"/>
      <c r="K14" s="21"/>
      <c r="L14" s="21"/>
      <c r="M14" s="21">
        <f t="shared" si="0"/>
        <v>1437.7148488621945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0.20430231186123302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2.5776776461447222</v>
      </c>
      <c r="C18" s="23"/>
      <c r="D18" s="23">
        <f t="shared" ref="D18:M18" si="1">D14*D16</f>
        <v>6.1634823758520367</v>
      </c>
      <c r="E18" s="23">
        <f t="shared" si="1"/>
        <v>26.417696635661738</v>
      </c>
      <c r="F18" s="23"/>
      <c r="G18" s="23">
        <f t="shared" si="1"/>
        <v>10111.888422954764</v>
      </c>
      <c r="H18" s="23">
        <f t="shared" si="1"/>
        <v>2032.177879096706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3.1700373136865504E-3</v>
      </c>
      <c r="H50" s="321">
        <f t="shared" si="2"/>
        <v>0</v>
      </c>
      <c r="I50" s="321">
        <f t="shared" si="2"/>
        <v>0</v>
      </c>
      <c r="J50" s="321">
        <f t="shared" si="2"/>
        <v>0</v>
      </c>
      <c r="K50" s="321">
        <f t="shared" si="2"/>
        <v>0</v>
      </c>
      <c r="L50" s="321">
        <f t="shared" si="2"/>
        <v>0</v>
      </c>
      <c r="M50" s="321">
        <f t="shared" si="2"/>
        <v>9.8327465519859893E-5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3.1700373136865504E-3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9.8327465519859893E-5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880.5659204684863</v>
      </c>
      <c r="H54" s="21">
        <f t="shared" si="3"/>
        <v>0</v>
      </c>
      <c r="I54" s="21">
        <f t="shared" si="3"/>
        <v>0</v>
      </c>
      <c r="J54" s="21">
        <f t="shared" si="3"/>
        <v>0</v>
      </c>
      <c r="K54" s="21">
        <f t="shared" si="3"/>
        <v>0</v>
      </c>
      <c r="L54" s="21">
        <f t="shared" si="3"/>
        <v>0</v>
      </c>
      <c r="M54" s="21">
        <f t="shared" si="3"/>
        <v>27.313184866627747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0.20430231186123302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235.11110076508587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5367.0150373524193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5367.0150373524193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16769.454000000002</v>
      </c>
      <c r="D10" s="718">
        <f ca="1">tertiair!C16</f>
        <v>0</v>
      </c>
      <c r="E10" s="718">
        <f ca="1">tertiair!D16</f>
        <v>15299.429046000001</v>
      </c>
      <c r="F10" s="718">
        <f>tertiair!E16</f>
        <v>293.31870515082545</v>
      </c>
      <c r="G10" s="718">
        <f ca="1">tertiair!F16</f>
        <v>3992.31135366131</v>
      </c>
      <c r="H10" s="718">
        <f>tertiair!G16</f>
        <v>0</v>
      </c>
      <c r="I10" s="718">
        <f>tertiair!H16</f>
        <v>0</v>
      </c>
      <c r="J10" s="718">
        <f>tertiair!I16</f>
        <v>0</v>
      </c>
      <c r="K10" s="718">
        <f>tertiair!J16</f>
        <v>0</v>
      </c>
      <c r="L10" s="718">
        <f>tertiair!K16</f>
        <v>0</v>
      </c>
      <c r="M10" s="718">
        <f ca="1">tertiair!L16</f>
        <v>0</v>
      </c>
      <c r="N10" s="718">
        <f>tertiair!M16</f>
        <v>0</v>
      </c>
      <c r="O10" s="718">
        <f ca="1">tertiair!N16</f>
        <v>1583.5203136620155</v>
      </c>
      <c r="P10" s="718">
        <f>tertiair!O16</f>
        <v>0</v>
      </c>
      <c r="Q10" s="719">
        <f>tertiair!P16</f>
        <v>19.066666666666666</v>
      </c>
      <c r="R10" s="721">
        <f ca="1">SUM(C10:Q10)</f>
        <v>37957.100085140824</v>
      </c>
      <c r="S10" s="67"/>
    </row>
    <row r="11" spans="1:19" s="474" customFormat="1">
      <c r="A11" s="870" t="s">
        <v>225</v>
      </c>
      <c r="B11" s="875"/>
      <c r="C11" s="718">
        <f>huishoudens!B8</f>
        <v>27482.873911215851</v>
      </c>
      <c r="D11" s="718">
        <f>huishoudens!C8</f>
        <v>0</v>
      </c>
      <c r="E11" s="718">
        <f>huishoudens!D8</f>
        <v>64273.20064000001</v>
      </c>
      <c r="F11" s="718">
        <f>huishoudens!E8</f>
        <v>3065.229596707492</v>
      </c>
      <c r="G11" s="718">
        <f>huishoudens!F8</f>
        <v>17499.574609981391</v>
      </c>
      <c r="H11" s="718">
        <f>huishoudens!G8</f>
        <v>0</v>
      </c>
      <c r="I11" s="718">
        <f>huishoudens!H8</f>
        <v>0</v>
      </c>
      <c r="J11" s="718">
        <f>huishoudens!I8</f>
        <v>0</v>
      </c>
      <c r="K11" s="718">
        <f>huishoudens!J8</f>
        <v>0</v>
      </c>
      <c r="L11" s="718">
        <f>huishoudens!K8</f>
        <v>0</v>
      </c>
      <c r="M11" s="718">
        <f>huishoudens!L8</f>
        <v>0</v>
      </c>
      <c r="N11" s="718">
        <f>huishoudens!M8</f>
        <v>0</v>
      </c>
      <c r="O11" s="718">
        <f>huishoudens!N8</f>
        <v>11814.545037666741</v>
      </c>
      <c r="P11" s="718">
        <f>huishoudens!O8</f>
        <v>173.53000000000003</v>
      </c>
      <c r="Q11" s="719">
        <f>huishoudens!P8</f>
        <v>457.6</v>
      </c>
      <c r="R11" s="721">
        <f>SUM(C11:Q11)</f>
        <v>124766.5537955715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24734.440999999999</v>
      </c>
      <c r="D13" s="718">
        <f>industrie!C18</f>
        <v>0</v>
      </c>
      <c r="E13" s="718">
        <f>industrie!D18</f>
        <v>15477.204226</v>
      </c>
      <c r="F13" s="718">
        <f>industrie!E18</f>
        <v>1737.2039224897087</v>
      </c>
      <c r="G13" s="718">
        <f>industrie!F18</f>
        <v>9709.6057649658269</v>
      </c>
      <c r="H13" s="718">
        <f>industrie!G18</f>
        <v>0</v>
      </c>
      <c r="I13" s="718">
        <f>industrie!H18</f>
        <v>0</v>
      </c>
      <c r="J13" s="718">
        <f>industrie!I18</f>
        <v>0</v>
      </c>
      <c r="K13" s="718">
        <f>industrie!J18</f>
        <v>43.008186349217915</v>
      </c>
      <c r="L13" s="718">
        <f>industrie!K18</f>
        <v>0</v>
      </c>
      <c r="M13" s="718">
        <f>industrie!L18</f>
        <v>0</v>
      </c>
      <c r="N13" s="718">
        <f>industrie!M18</f>
        <v>0</v>
      </c>
      <c r="O13" s="718">
        <f>industrie!N18</f>
        <v>6560.2671453997718</v>
      </c>
      <c r="P13" s="718">
        <f>industrie!O18</f>
        <v>0</v>
      </c>
      <c r="Q13" s="719">
        <f>industrie!P18</f>
        <v>0</v>
      </c>
      <c r="R13" s="721">
        <f>SUM(C13:Q13)</f>
        <v>58261.730245204526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68986.768911215855</v>
      </c>
      <c r="D15" s="723">
        <f t="shared" ref="D15:Q15" ca="1" si="0">SUM(D9:D14)</f>
        <v>0</v>
      </c>
      <c r="E15" s="723">
        <f t="shared" ca="1" si="0"/>
        <v>95049.833912000016</v>
      </c>
      <c r="F15" s="723">
        <f t="shared" si="0"/>
        <v>5095.7522243480262</v>
      </c>
      <c r="G15" s="723">
        <f t="shared" ca="1" si="0"/>
        <v>31201.491728608526</v>
      </c>
      <c r="H15" s="723">
        <f t="shared" si="0"/>
        <v>0</v>
      </c>
      <c r="I15" s="723">
        <f t="shared" si="0"/>
        <v>0</v>
      </c>
      <c r="J15" s="723">
        <f t="shared" si="0"/>
        <v>0</v>
      </c>
      <c r="K15" s="723">
        <f t="shared" si="0"/>
        <v>43.008186349217915</v>
      </c>
      <c r="L15" s="723">
        <f t="shared" si="0"/>
        <v>0</v>
      </c>
      <c r="M15" s="723">
        <f t="shared" ca="1" si="0"/>
        <v>0</v>
      </c>
      <c r="N15" s="723">
        <f t="shared" si="0"/>
        <v>0</v>
      </c>
      <c r="O15" s="723">
        <f t="shared" ca="1" si="0"/>
        <v>19958.33249672853</v>
      </c>
      <c r="P15" s="723">
        <f t="shared" si="0"/>
        <v>173.53000000000003</v>
      </c>
      <c r="Q15" s="724">
        <f t="shared" si="0"/>
        <v>476.66666666666669</v>
      </c>
      <c r="R15" s="725">
        <f ca="1">SUM(R9:R14)</f>
        <v>220985.38412591684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880.5659204684863</v>
      </c>
      <c r="I18" s="718">
        <f>transport!H54</f>
        <v>0</v>
      </c>
      <c r="J18" s="718">
        <f>transport!I54</f>
        <v>0</v>
      </c>
      <c r="K18" s="718">
        <f>transport!J54</f>
        <v>0</v>
      </c>
      <c r="L18" s="718">
        <f>transport!K54</f>
        <v>0</v>
      </c>
      <c r="M18" s="718">
        <f>transport!L54</f>
        <v>0</v>
      </c>
      <c r="N18" s="718">
        <f>transport!M54</f>
        <v>27.313184866627747</v>
      </c>
      <c r="O18" s="718">
        <f>transport!N54</f>
        <v>0</v>
      </c>
      <c r="P18" s="718">
        <f>transport!O54</f>
        <v>0</v>
      </c>
      <c r="Q18" s="719">
        <f>transport!P54</f>
        <v>0</v>
      </c>
      <c r="R18" s="721">
        <f>SUM(C18:Q18)</f>
        <v>907.87910533511399</v>
      </c>
      <c r="S18" s="67"/>
    </row>
    <row r="19" spans="1:19" s="474" customFormat="1" ht="15" thickBot="1">
      <c r="A19" s="870" t="s">
        <v>307</v>
      </c>
      <c r="B19" s="875"/>
      <c r="C19" s="727">
        <f>transport!B14</f>
        <v>12.616977373685042</v>
      </c>
      <c r="D19" s="727">
        <f>transport!C14</f>
        <v>0</v>
      </c>
      <c r="E19" s="727">
        <f>transport!D14</f>
        <v>30.512288989366517</v>
      </c>
      <c r="F19" s="727">
        <f>transport!E14</f>
        <v>116.37751821877417</v>
      </c>
      <c r="G19" s="727">
        <f>transport!F14</f>
        <v>0</v>
      </c>
      <c r="H19" s="727">
        <f>transport!G14</f>
        <v>37872.241284474767</v>
      </c>
      <c r="I19" s="727">
        <f>transport!H14</f>
        <v>8161.3569441634781</v>
      </c>
      <c r="J19" s="727">
        <f>transport!I14</f>
        <v>0</v>
      </c>
      <c r="K19" s="727">
        <f>transport!J14</f>
        <v>0</v>
      </c>
      <c r="L19" s="727">
        <f>transport!K14</f>
        <v>0</v>
      </c>
      <c r="M19" s="727">
        <f>transport!L14</f>
        <v>0</v>
      </c>
      <c r="N19" s="727">
        <f>transport!M14</f>
        <v>1437.7148488621945</v>
      </c>
      <c r="O19" s="727">
        <f>transport!N14</f>
        <v>0</v>
      </c>
      <c r="P19" s="727">
        <f>transport!O14</f>
        <v>0</v>
      </c>
      <c r="Q19" s="728">
        <f>transport!P14</f>
        <v>0</v>
      </c>
      <c r="R19" s="729">
        <f>SUM(C19:Q19)</f>
        <v>47630.819862082266</v>
      </c>
      <c r="S19" s="67"/>
    </row>
    <row r="20" spans="1:19" s="474" customFormat="1" ht="15.75" thickBot="1">
      <c r="A20" s="730" t="s">
        <v>230</v>
      </c>
      <c r="B20" s="878"/>
      <c r="C20" s="873">
        <f>SUM(C17:C19)</f>
        <v>12.616977373685042</v>
      </c>
      <c r="D20" s="731">
        <f t="shared" ref="D20:R20" si="1">SUM(D17:D19)</f>
        <v>0</v>
      </c>
      <c r="E20" s="731">
        <f t="shared" si="1"/>
        <v>30.512288989366517</v>
      </c>
      <c r="F20" s="731">
        <f t="shared" si="1"/>
        <v>116.37751821877417</v>
      </c>
      <c r="G20" s="731">
        <f t="shared" si="1"/>
        <v>0</v>
      </c>
      <c r="H20" s="731">
        <f t="shared" si="1"/>
        <v>38752.807204943252</v>
      </c>
      <c r="I20" s="731">
        <f t="shared" si="1"/>
        <v>8161.3569441634781</v>
      </c>
      <c r="J20" s="731">
        <f t="shared" si="1"/>
        <v>0</v>
      </c>
      <c r="K20" s="731">
        <f t="shared" si="1"/>
        <v>0</v>
      </c>
      <c r="L20" s="731">
        <f t="shared" si="1"/>
        <v>0</v>
      </c>
      <c r="M20" s="731">
        <f t="shared" si="1"/>
        <v>0</v>
      </c>
      <c r="N20" s="731">
        <f t="shared" si="1"/>
        <v>1465.0280337288223</v>
      </c>
      <c r="O20" s="731">
        <f t="shared" si="1"/>
        <v>0</v>
      </c>
      <c r="P20" s="731">
        <f t="shared" si="1"/>
        <v>0</v>
      </c>
      <c r="Q20" s="732">
        <f t="shared" si="1"/>
        <v>0</v>
      </c>
      <c r="R20" s="733">
        <f t="shared" si="1"/>
        <v>48538.698967417382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2035.018</v>
      </c>
      <c r="D22" s="727">
        <f>+landbouw!C8</f>
        <v>0</v>
      </c>
      <c r="E22" s="727">
        <f>+landbouw!D8</f>
        <v>3703.0482500000003</v>
      </c>
      <c r="F22" s="727">
        <f>+landbouw!E8</f>
        <v>52.475300654243505</v>
      </c>
      <c r="G22" s="727">
        <f>+landbouw!F8</f>
        <v>7438.378340352011</v>
      </c>
      <c r="H22" s="727">
        <f>+landbouw!G8</f>
        <v>0</v>
      </c>
      <c r="I22" s="727">
        <f>+landbouw!H8</f>
        <v>0</v>
      </c>
      <c r="J22" s="727">
        <f>+landbouw!I8</f>
        <v>0</v>
      </c>
      <c r="K22" s="727">
        <f>+landbouw!J8</f>
        <v>292.96773049069435</v>
      </c>
      <c r="L22" s="727">
        <f>+landbouw!K8</f>
        <v>0</v>
      </c>
      <c r="M22" s="727">
        <f>+landbouw!L8</f>
        <v>0</v>
      </c>
      <c r="N22" s="727">
        <f>+landbouw!M8</f>
        <v>0</v>
      </c>
      <c r="O22" s="727">
        <f>+landbouw!N8</f>
        <v>0</v>
      </c>
      <c r="P22" s="727">
        <f>+landbouw!O8</f>
        <v>0</v>
      </c>
      <c r="Q22" s="728">
        <f>+landbouw!P8</f>
        <v>0</v>
      </c>
      <c r="R22" s="729">
        <f>SUM(C22:Q22)</f>
        <v>13521.88762149695</v>
      </c>
      <c r="S22" s="67"/>
    </row>
    <row r="23" spans="1:19" s="474" customFormat="1" ht="17.25" thickTop="1" thickBot="1">
      <c r="A23" s="734" t="s">
        <v>116</v>
      </c>
      <c r="B23" s="864"/>
      <c r="C23" s="735">
        <f ca="1">C20+C15+C22</f>
        <v>71034.403888589542</v>
      </c>
      <c r="D23" s="735">
        <f t="shared" ref="D23:Q23" ca="1" si="2">D20+D15+D22</f>
        <v>0</v>
      </c>
      <c r="E23" s="735">
        <f t="shared" ca="1" si="2"/>
        <v>98783.394450989392</v>
      </c>
      <c r="F23" s="735">
        <f t="shared" si="2"/>
        <v>5264.6050432210432</v>
      </c>
      <c r="G23" s="735">
        <f t="shared" ca="1" si="2"/>
        <v>38639.870068960539</v>
      </c>
      <c r="H23" s="735">
        <f t="shared" si="2"/>
        <v>38752.807204943252</v>
      </c>
      <c r="I23" s="735">
        <f t="shared" si="2"/>
        <v>8161.3569441634781</v>
      </c>
      <c r="J23" s="735">
        <f t="shared" si="2"/>
        <v>0</v>
      </c>
      <c r="K23" s="735">
        <f t="shared" si="2"/>
        <v>335.97591683991226</v>
      </c>
      <c r="L23" s="735">
        <f t="shared" si="2"/>
        <v>0</v>
      </c>
      <c r="M23" s="735">
        <f t="shared" ca="1" si="2"/>
        <v>0</v>
      </c>
      <c r="N23" s="735">
        <f t="shared" si="2"/>
        <v>1465.0280337288223</v>
      </c>
      <c r="O23" s="735">
        <f t="shared" ca="1" si="2"/>
        <v>19958.33249672853</v>
      </c>
      <c r="P23" s="735">
        <f t="shared" si="2"/>
        <v>173.53000000000003</v>
      </c>
      <c r="Q23" s="736">
        <f t="shared" si="2"/>
        <v>476.66666666666669</v>
      </c>
      <c r="R23" s="737">
        <f ca="1">R20+R15+R22</f>
        <v>283045.97071483114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3426.0382208506016</v>
      </c>
      <c r="D36" s="718">
        <f ca="1">tertiair!C20</f>
        <v>0</v>
      </c>
      <c r="E36" s="718">
        <f ca="1">tertiair!D20</f>
        <v>3090.4846672920003</v>
      </c>
      <c r="F36" s="718">
        <f>tertiair!E20</f>
        <v>66.583346069237379</v>
      </c>
      <c r="G36" s="718">
        <f ca="1">tertiair!F20</f>
        <v>1065.9471314275697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7649.0533656394091</v>
      </c>
    </row>
    <row r="37" spans="1:18">
      <c r="A37" s="885" t="s">
        <v>225</v>
      </c>
      <c r="B37" s="892"/>
      <c r="C37" s="718">
        <f ca="1">huishoudens!B12</f>
        <v>5614.8146766521659</v>
      </c>
      <c r="D37" s="718">
        <f ca="1">huishoudens!C12</f>
        <v>0</v>
      </c>
      <c r="E37" s="718">
        <f>huishoudens!D12</f>
        <v>12983.186529280003</v>
      </c>
      <c r="F37" s="718">
        <f>huishoudens!E12</f>
        <v>695.80711845260066</v>
      </c>
      <c r="G37" s="718">
        <f>huishoudens!F12</f>
        <v>4672.3864208650321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23966.194745249799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5053.3034788952682</v>
      </c>
      <c r="D39" s="718">
        <f ca="1">industrie!C22</f>
        <v>0</v>
      </c>
      <c r="E39" s="718">
        <f>industrie!D22</f>
        <v>3126.3952536520001</v>
      </c>
      <c r="F39" s="718">
        <f>industrie!E22</f>
        <v>394.34529040516389</v>
      </c>
      <c r="G39" s="718">
        <f>industrie!F22</f>
        <v>2592.464739245876</v>
      </c>
      <c r="H39" s="718">
        <f>industrie!G22</f>
        <v>0</v>
      </c>
      <c r="I39" s="718">
        <f>industrie!H22</f>
        <v>0</v>
      </c>
      <c r="J39" s="718">
        <f>industrie!I22</f>
        <v>0</v>
      </c>
      <c r="K39" s="718">
        <f>industrie!J22</f>
        <v>15.224897967623141</v>
      </c>
      <c r="L39" s="718">
        <f>industrie!K22</f>
        <v>0</v>
      </c>
      <c r="M39" s="718">
        <f>industrie!L22</f>
        <v>0</v>
      </c>
      <c r="N39" s="718">
        <f>industrie!M22</f>
        <v>0</v>
      </c>
      <c r="O39" s="718">
        <f>industrie!N22</f>
        <v>0</v>
      </c>
      <c r="P39" s="718">
        <f>industrie!O22</f>
        <v>0</v>
      </c>
      <c r="Q39" s="828">
        <f>industrie!P22</f>
        <v>0</v>
      </c>
      <c r="R39" s="918">
        <f ca="1">SUM(C39:Q39)</f>
        <v>11181.73366016593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14094.156376398036</v>
      </c>
      <c r="D41" s="763">
        <f t="shared" ref="D41:R41" ca="1" si="4">SUM(D35:D40)</f>
        <v>0</v>
      </c>
      <c r="E41" s="763">
        <f t="shared" ca="1" si="4"/>
        <v>19200.066450224003</v>
      </c>
      <c r="F41" s="763">
        <f t="shared" si="4"/>
        <v>1156.7357549270018</v>
      </c>
      <c r="G41" s="763">
        <f t="shared" ca="1" si="4"/>
        <v>8330.7982915384782</v>
      </c>
      <c r="H41" s="763">
        <f t="shared" si="4"/>
        <v>0</v>
      </c>
      <c r="I41" s="763">
        <f t="shared" si="4"/>
        <v>0</v>
      </c>
      <c r="J41" s="763">
        <f t="shared" si="4"/>
        <v>0</v>
      </c>
      <c r="K41" s="763">
        <f t="shared" si="4"/>
        <v>15.224897967623141</v>
      </c>
      <c r="L41" s="763">
        <f t="shared" si="4"/>
        <v>0</v>
      </c>
      <c r="M41" s="763">
        <f t="shared" ca="1" si="4"/>
        <v>0</v>
      </c>
      <c r="N41" s="763">
        <f t="shared" si="4"/>
        <v>0</v>
      </c>
      <c r="O41" s="763">
        <f t="shared" ca="1" si="4"/>
        <v>0</v>
      </c>
      <c r="P41" s="763">
        <f t="shared" si="4"/>
        <v>0</v>
      </c>
      <c r="Q41" s="764">
        <f t="shared" si="4"/>
        <v>0</v>
      </c>
      <c r="R41" s="765">
        <f t="shared" ca="1" si="4"/>
        <v>42796.981771055143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235.11110076508587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235.11110076508587</v>
      </c>
    </row>
    <row r="45" spans="1:18" ht="15" thickBot="1">
      <c r="A45" s="888" t="s">
        <v>307</v>
      </c>
      <c r="B45" s="898"/>
      <c r="C45" s="727">
        <f ca="1">transport!B18</f>
        <v>2.5776776461447222</v>
      </c>
      <c r="D45" s="727">
        <f>transport!C18</f>
        <v>0</v>
      </c>
      <c r="E45" s="727">
        <f>transport!D18</f>
        <v>6.1634823758520367</v>
      </c>
      <c r="F45" s="727">
        <f>transport!E18</f>
        <v>26.417696635661738</v>
      </c>
      <c r="G45" s="727">
        <f>transport!F18</f>
        <v>0</v>
      </c>
      <c r="H45" s="727">
        <f>transport!G18</f>
        <v>10111.888422954764</v>
      </c>
      <c r="I45" s="727">
        <f>transport!H18</f>
        <v>2032.177879096706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12179.225158709129</v>
      </c>
    </row>
    <row r="46" spans="1:18" ht="15.75" thickBot="1">
      <c r="A46" s="886" t="s">
        <v>230</v>
      </c>
      <c r="B46" s="899"/>
      <c r="C46" s="763">
        <f t="shared" ref="C46:R46" ca="1" si="5">SUM(C43:C45)</f>
        <v>2.5776776461447222</v>
      </c>
      <c r="D46" s="763">
        <f t="shared" ca="1" si="5"/>
        <v>0</v>
      </c>
      <c r="E46" s="763">
        <f t="shared" si="5"/>
        <v>6.1634823758520367</v>
      </c>
      <c r="F46" s="763">
        <f t="shared" si="5"/>
        <v>26.417696635661738</v>
      </c>
      <c r="G46" s="763">
        <f t="shared" si="5"/>
        <v>0</v>
      </c>
      <c r="H46" s="763">
        <f t="shared" si="5"/>
        <v>10346.999523719849</v>
      </c>
      <c r="I46" s="763">
        <f t="shared" si="5"/>
        <v>2032.177879096706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12414.336259474214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415.7588820792227</v>
      </c>
      <c r="D48" s="718">
        <f ca="1">+landbouw!C12</f>
        <v>0</v>
      </c>
      <c r="E48" s="718">
        <f>+landbouw!D12</f>
        <v>748.01574650000009</v>
      </c>
      <c r="F48" s="718">
        <f>+landbouw!E12</f>
        <v>11.911893248513277</v>
      </c>
      <c r="G48" s="718">
        <f>+landbouw!F12</f>
        <v>1986.0470168739871</v>
      </c>
      <c r="H48" s="718">
        <f>+landbouw!G12</f>
        <v>0</v>
      </c>
      <c r="I48" s="718">
        <f>+landbouw!H12</f>
        <v>0</v>
      </c>
      <c r="J48" s="718">
        <f>+landbouw!I12</f>
        <v>0</v>
      </c>
      <c r="K48" s="718">
        <f>+landbouw!J12</f>
        <v>103.7105765937058</v>
      </c>
      <c r="L48" s="718">
        <f>+landbouw!K12</f>
        <v>0</v>
      </c>
      <c r="M48" s="718">
        <f>+landbouw!L12</f>
        <v>0</v>
      </c>
      <c r="N48" s="718">
        <f>+landbouw!M12</f>
        <v>0</v>
      </c>
      <c r="O48" s="718">
        <f>+landbouw!N12</f>
        <v>0</v>
      </c>
      <c r="P48" s="718">
        <f>+landbouw!O12</f>
        <v>0</v>
      </c>
      <c r="Q48" s="719">
        <f>+landbouw!P12</f>
        <v>0</v>
      </c>
      <c r="R48" s="761">
        <f ca="1">SUM(C48:Q48)</f>
        <v>3265.4441152954287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14512.492936123403</v>
      </c>
      <c r="D53" s="773">
        <f t="shared" ref="D53:Q53" ca="1" si="6">D41+D46+D48</f>
        <v>0</v>
      </c>
      <c r="E53" s="773">
        <f t="shared" ca="1" si="6"/>
        <v>19954.245679099855</v>
      </c>
      <c r="F53" s="773">
        <f t="shared" si="6"/>
        <v>1195.0653448111768</v>
      </c>
      <c r="G53" s="773">
        <f t="shared" ca="1" si="6"/>
        <v>10316.845308412465</v>
      </c>
      <c r="H53" s="773">
        <f t="shared" si="6"/>
        <v>10346.999523719849</v>
      </c>
      <c r="I53" s="773">
        <f t="shared" si="6"/>
        <v>2032.177879096706</v>
      </c>
      <c r="J53" s="773">
        <f t="shared" si="6"/>
        <v>0</v>
      </c>
      <c r="K53" s="773">
        <f t="shared" si="6"/>
        <v>118.93547456132893</v>
      </c>
      <c r="L53" s="773">
        <f t="shared" si="6"/>
        <v>0</v>
      </c>
      <c r="M53" s="773">
        <f t="shared" ca="1" si="6"/>
        <v>0</v>
      </c>
      <c r="N53" s="773">
        <f t="shared" si="6"/>
        <v>0</v>
      </c>
      <c r="O53" s="773">
        <f t="shared" ca="1" si="6"/>
        <v>0</v>
      </c>
      <c r="P53" s="773">
        <f>P41+P46+P48</f>
        <v>0</v>
      </c>
      <c r="Q53" s="774">
        <f t="shared" si="6"/>
        <v>0</v>
      </c>
      <c r="R53" s="775">
        <f ca="1">R41+R46+R48</f>
        <v>58476.762145824789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0.20430231186123299</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5367.0150373524193</v>
      </c>
      <c r="C66" s="795">
        <f>'lokale energieproductie'!B6</f>
        <v>5367.0150373524193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5367.0150373524193</v>
      </c>
      <c r="C69" s="803">
        <f>SUM(C64:C68)</f>
        <v>5367.0150373524193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27482.873911215851</v>
      </c>
      <c r="C4" s="478">
        <f>huishoudens!C8</f>
        <v>0</v>
      </c>
      <c r="D4" s="478">
        <f>huishoudens!D8</f>
        <v>64273.20064000001</v>
      </c>
      <c r="E4" s="478">
        <f>huishoudens!E8</f>
        <v>3065.229596707492</v>
      </c>
      <c r="F4" s="478">
        <f>huishoudens!F8</f>
        <v>17499.574609981391</v>
      </c>
      <c r="G4" s="478">
        <f>huishoudens!G8</f>
        <v>0</v>
      </c>
      <c r="H4" s="478">
        <f>huishoudens!H8</f>
        <v>0</v>
      </c>
      <c r="I4" s="478">
        <f>huishoudens!I8</f>
        <v>0</v>
      </c>
      <c r="J4" s="478">
        <f>huishoudens!J8</f>
        <v>0</v>
      </c>
      <c r="K4" s="478">
        <f>huishoudens!K8</f>
        <v>0</v>
      </c>
      <c r="L4" s="478">
        <f>huishoudens!L8</f>
        <v>0</v>
      </c>
      <c r="M4" s="478">
        <f>huishoudens!M8</f>
        <v>0</v>
      </c>
      <c r="N4" s="478">
        <f>huishoudens!N8</f>
        <v>11814.545037666741</v>
      </c>
      <c r="O4" s="478">
        <f>huishoudens!O8</f>
        <v>173.53000000000003</v>
      </c>
      <c r="P4" s="479">
        <f>huishoudens!P8</f>
        <v>457.6</v>
      </c>
      <c r="Q4" s="480">
        <f>SUM(B4:P4)</f>
        <v>124766.5537955715</v>
      </c>
    </row>
    <row r="5" spans="1:17">
      <c r="A5" s="477" t="s">
        <v>156</v>
      </c>
      <c r="B5" s="478">
        <f ca="1">tertiair!B16</f>
        <v>16000.803000000002</v>
      </c>
      <c r="C5" s="478">
        <f ca="1">tertiair!C16</f>
        <v>0</v>
      </c>
      <c r="D5" s="478">
        <f ca="1">tertiair!D16</f>
        <v>15299.429046000001</v>
      </c>
      <c r="E5" s="478">
        <f>tertiair!E16</f>
        <v>293.31870515082545</v>
      </c>
      <c r="F5" s="478">
        <f ca="1">tertiair!F16</f>
        <v>3992.31135366131</v>
      </c>
      <c r="G5" s="478">
        <f>tertiair!G16</f>
        <v>0</v>
      </c>
      <c r="H5" s="478">
        <f>tertiair!H16</f>
        <v>0</v>
      </c>
      <c r="I5" s="478">
        <f>tertiair!I16</f>
        <v>0</v>
      </c>
      <c r="J5" s="478">
        <f>tertiair!J16</f>
        <v>0</v>
      </c>
      <c r="K5" s="478">
        <f>tertiair!K16</f>
        <v>0</v>
      </c>
      <c r="L5" s="478">
        <f ca="1">tertiair!L16</f>
        <v>0</v>
      </c>
      <c r="M5" s="478">
        <f>tertiair!M16</f>
        <v>0</v>
      </c>
      <c r="N5" s="478">
        <f ca="1">tertiair!N16</f>
        <v>1583.5203136620155</v>
      </c>
      <c r="O5" s="478">
        <f>tertiair!O16</f>
        <v>0</v>
      </c>
      <c r="P5" s="479">
        <f>tertiair!P16</f>
        <v>19.066666666666666</v>
      </c>
      <c r="Q5" s="477">
        <f t="shared" ref="Q5:Q13" ca="1" si="0">SUM(B5:P5)</f>
        <v>37188.449085140826</v>
      </c>
    </row>
    <row r="6" spans="1:17">
      <c r="A6" s="477" t="s">
        <v>194</v>
      </c>
      <c r="B6" s="478">
        <f>'openbare verlichting'!B8</f>
        <v>768.65099999999995</v>
      </c>
      <c r="C6" s="478"/>
      <c r="D6" s="478"/>
      <c r="E6" s="478"/>
      <c r="F6" s="478"/>
      <c r="G6" s="478"/>
      <c r="H6" s="478"/>
      <c r="I6" s="478"/>
      <c r="J6" s="478"/>
      <c r="K6" s="478"/>
      <c r="L6" s="478"/>
      <c r="M6" s="478"/>
      <c r="N6" s="478"/>
      <c r="O6" s="478"/>
      <c r="P6" s="479"/>
      <c r="Q6" s="477">
        <f t="shared" si="0"/>
        <v>768.65099999999995</v>
      </c>
    </row>
    <row r="7" spans="1:17">
      <c r="A7" s="477" t="s">
        <v>112</v>
      </c>
      <c r="B7" s="478">
        <f>landbouw!B8</f>
        <v>2035.018</v>
      </c>
      <c r="C7" s="478">
        <f>landbouw!C8</f>
        <v>0</v>
      </c>
      <c r="D7" s="478">
        <f>landbouw!D8</f>
        <v>3703.0482500000003</v>
      </c>
      <c r="E7" s="478">
        <f>landbouw!E8</f>
        <v>52.475300654243505</v>
      </c>
      <c r="F7" s="478">
        <f>landbouw!F8</f>
        <v>7438.378340352011</v>
      </c>
      <c r="G7" s="478">
        <f>landbouw!G8</f>
        <v>0</v>
      </c>
      <c r="H7" s="478">
        <f>landbouw!H8</f>
        <v>0</v>
      </c>
      <c r="I7" s="478">
        <f>landbouw!I8</f>
        <v>0</v>
      </c>
      <c r="J7" s="478">
        <f>landbouw!J8</f>
        <v>292.96773049069435</v>
      </c>
      <c r="K7" s="478">
        <f>landbouw!K8</f>
        <v>0</v>
      </c>
      <c r="L7" s="478">
        <f>landbouw!L8</f>
        <v>0</v>
      </c>
      <c r="M7" s="478">
        <f>landbouw!M8</f>
        <v>0</v>
      </c>
      <c r="N7" s="478">
        <f>landbouw!N8</f>
        <v>0</v>
      </c>
      <c r="O7" s="478">
        <f>landbouw!O8</f>
        <v>0</v>
      </c>
      <c r="P7" s="479">
        <f>landbouw!P8</f>
        <v>0</v>
      </c>
      <c r="Q7" s="477">
        <f t="shared" si="0"/>
        <v>13521.88762149695</v>
      </c>
    </row>
    <row r="8" spans="1:17">
      <c r="A8" s="477" t="s">
        <v>638</v>
      </c>
      <c r="B8" s="478">
        <f>industrie!B18</f>
        <v>24734.440999999999</v>
      </c>
      <c r="C8" s="478">
        <f>industrie!C18</f>
        <v>0</v>
      </c>
      <c r="D8" s="478">
        <f>industrie!D18</f>
        <v>15477.204226</v>
      </c>
      <c r="E8" s="478">
        <f>industrie!E18</f>
        <v>1737.2039224897087</v>
      </c>
      <c r="F8" s="478">
        <f>industrie!F18</f>
        <v>9709.6057649658269</v>
      </c>
      <c r="G8" s="478">
        <f>industrie!G18</f>
        <v>0</v>
      </c>
      <c r="H8" s="478">
        <f>industrie!H18</f>
        <v>0</v>
      </c>
      <c r="I8" s="478">
        <f>industrie!I18</f>
        <v>0</v>
      </c>
      <c r="J8" s="478">
        <f>industrie!J18</f>
        <v>43.008186349217915</v>
      </c>
      <c r="K8" s="478">
        <f>industrie!K18</f>
        <v>0</v>
      </c>
      <c r="L8" s="478">
        <f>industrie!L18</f>
        <v>0</v>
      </c>
      <c r="M8" s="478">
        <f>industrie!M18</f>
        <v>0</v>
      </c>
      <c r="N8" s="478">
        <f>industrie!N18</f>
        <v>6560.2671453997718</v>
      </c>
      <c r="O8" s="478">
        <f>industrie!O18</f>
        <v>0</v>
      </c>
      <c r="P8" s="479">
        <f>industrie!P18</f>
        <v>0</v>
      </c>
      <c r="Q8" s="477">
        <f t="shared" si="0"/>
        <v>58261.730245204526</v>
      </c>
    </row>
    <row r="9" spans="1:17" s="483" customFormat="1">
      <c r="A9" s="481" t="s">
        <v>564</v>
      </c>
      <c r="B9" s="482">
        <f>transport!B14</f>
        <v>12.616977373685042</v>
      </c>
      <c r="C9" s="482">
        <f>transport!C14</f>
        <v>0</v>
      </c>
      <c r="D9" s="482">
        <f>transport!D14</f>
        <v>30.512288989366517</v>
      </c>
      <c r="E9" s="482">
        <f>transport!E14</f>
        <v>116.37751821877417</v>
      </c>
      <c r="F9" s="482">
        <f>transport!F14</f>
        <v>0</v>
      </c>
      <c r="G9" s="482">
        <f>transport!G14</f>
        <v>37872.241284474767</v>
      </c>
      <c r="H9" s="482">
        <f>transport!H14</f>
        <v>8161.3569441634781</v>
      </c>
      <c r="I9" s="482">
        <f>transport!I14</f>
        <v>0</v>
      </c>
      <c r="J9" s="482">
        <f>transport!J14</f>
        <v>0</v>
      </c>
      <c r="K9" s="482">
        <f>transport!K14</f>
        <v>0</v>
      </c>
      <c r="L9" s="482">
        <f>transport!L14</f>
        <v>0</v>
      </c>
      <c r="M9" s="482">
        <f>transport!M14</f>
        <v>1437.7148488621945</v>
      </c>
      <c r="N9" s="482">
        <f>transport!N14</f>
        <v>0</v>
      </c>
      <c r="O9" s="482">
        <f>transport!O14</f>
        <v>0</v>
      </c>
      <c r="P9" s="482">
        <f>transport!P14</f>
        <v>0</v>
      </c>
      <c r="Q9" s="481">
        <f>SUM(B9:P9)</f>
        <v>47630.819862082266</v>
      </c>
    </row>
    <row r="10" spans="1:17">
      <c r="A10" s="477" t="s">
        <v>554</v>
      </c>
      <c r="B10" s="478">
        <f>transport!B54</f>
        <v>0</v>
      </c>
      <c r="C10" s="478">
        <f>transport!C54</f>
        <v>0</v>
      </c>
      <c r="D10" s="478">
        <f>transport!D54</f>
        <v>0</v>
      </c>
      <c r="E10" s="478">
        <f>transport!E54</f>
        <v>0</v>
      </c>
      <c r="F10" s="478">
        <f>transport!F54</f>
        <v>0</v>
      </c>
      <c r="G10" s="478">
        <f>transport!G54</f>
        <v>880.5659204684863</v>
      </c>
      <c r="H10" s="478">
        <f>transport!H54</f>
        <v>0</v>
      </c>
      <c r="I10" s="478">
        <f>transport!I54</f>
        <v>0</v>
      </c>
      <c r="J10" s="478">
        <f>transport!J54</f>
        <v>0</v>
      </c>
      <c r="K10" s="478">
        <f>transport!K54</f>
        <v>0</v>
      </c>
      <c r="L10" s="478">
        <f>transport!L54</f>
        <v>0</v>
      </c>
      <c r="M10" s="478">
        <f>transport!M54</f>
        <v>27.313184866627747</v>
      </c>
      <c r="N10" s="478">
        <f>transport!N54</f>
        <v>0</v>
      </c>
      <c r="O10" s="478">
        <f>transport!O54</f>
        <v>0</v>
      </c>
      <c r="P10" s="479">
        <f>transport!P54</f>
        <v>0</v>
      </c>
      <c r="Q10" s="477">
        <f t="shared" si="0"/>
        <v>907.87910533511399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71034.403888589528</v>
      </c>
      <c r="C14" s="488">
        <f t="shared" ref="C14:Q14" ca="1" si="1">SUM(C4:C13)</f>
        <v>0</v>
      </c>
      <c r="D14" s="488">
        <f t="shared" ca="1" si="1"/>
        <v>98783.394450989392</v>
      </c>
      <c r="E14" s="488">
        <f t="shared" si="1"/>
        <v>5264.6050432210432</v>
      </c>
      <c r="F14" s="488">
        <f t="shared" ca="1" si="1"/>
        <v>38639.870068960539</v>
      </c>
      <c r="G14" s="488">
        <f t="shared" si="1"/>
        <v>38752.807204943252</v>
      </c>
      <c r="H14" s="488">
        <f t="shared" si="1"/>
        <v>8161.3569441634781</v>
      </c>
      <c r="I14" s="488">
        <f t="shared" si="1"/>
        <v>0</v>
      </c>
      <c r="J14" s="488">
        <f t="shared" si="1"/>
        <v>335.97591683991226</v>
      </c>
      <c r="K14" s="488">
        <f t="shared" si="1"/>
        <v>0</v>
      </c>
      <c r="L14" s="488">
        <f t="shared" ca="1" si="1"/>
        <v>0</v>
      </c>
      <c r="M14" s="488">
        <f t="shared" si="1"/>
        <v>1465.0280337288223</v>
      </c>
      <c r="N14" s="488">
        <f t="shared" ca="1" si="1"/>
        <v>19958.33249672853</v>
      </c>
      <c r="O14" s="488">
        <f t="shared" si="1"/>
        <v>173.53000000000003</v>
      </c>
      <c r="P14" s="489">
        <f t="shared" si="1"/>
        <v>476.66666666666669</v>
      </c>
      <c r="Q14" s="489">
        <f t="shared" ca="1" si="1"/>
        <v>283045.9707148312</v>
      </c>
    </row>
    <row r="16" spans="1:17">
      <c r="A16" s="491" t="s">
        <v>559</v>
      </c>
      <c r="B16" s="841">
        <f ca="1">huishoudens!B10</f>
        <v>0.20430231186123302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5614.8146766521659</v>
      </c>
      <c r="C21" s="478">
        <f t="shared" ref="C21:C30" ca="1" si="3">C4*$C$16</f>
        <v>0</v>
      </c>
      <c r="D21" s="478">
        <f t="shared" ref="D21:D30" si="4">D4*$D$16</f>
        <v>12983.186529280003</v>
      </c>
      <c r="E21" s="478">
        <f t="shared" ref="E21:E30" si="5">E4*$E$16</f>
        <v>695.80711845260066</v>
      </c>
      <c r="F21" s="478">
        <f t="shared" ref="F21:F30" si="6">F4*$F$16</f>
        <v>4672.3864208650321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23966.194745249799</v>
      </c>
    </row>
    <row r="22" spans="1:17">
      <c r="A22" s="477" t="s">
        <v>156</v>
      </c>
      <c r="B22" s="478">
        <f t="shared" ca="1" si="2"/>
        <v>3269.0010445361531</v>
      </c>
      <c r="C22" s="478">
        <f t="shared" ca="1" si="3"/>
        <v>0</v>
      </c>
      <c r="D22" s="478">
        <f t="shared" ca="1" si="4"/>
        <v>3090.4846672920003</v>
      </c>
      <c r="E22" s="478">
        <f t="shared" si="5"/>
        <v>66.583346069237379</v>
      </c>
      <c r="F22" s="478">
        <f t="shared" ca="1" si="6"/>
        <v>1065.9471314275697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7492.0161893249606</v>
      </c>
    </row>
    <row r="23" spans="1:17">
      <c r="A23" s="477" t="s">
        <v>194</v>
      </c>
      <c r="B23" s="478">
        <f t="shared" ca="1" si="2"/>
        <v>157.0371763144486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157.0371763144486</v>
      </c>
    </row>
    <row r="24" spans="1:17">
      <c r="A24" s="477" t="s">
        <v>112</v>
      </c>
      <c r="B24" s="478">
        <f t="shared" ca="1" si="2"/>
        <v>415.7588820792227</v>
      </c>
      <c r="C24" s="478">
        <f t="shared" ca="1" si="3"/>
        <v>0</v>
      </c>
      <c r="D24" s="478">
        <f t="shared" si="4"/>
        <v>748.01574650000009</v>
      </c>
      <c r="E24" s="478">
        <f t="shared" si="5"/>
        <v>11.911893248513277</v>
      </c>
      <c r="F24" s="478">
        <f t="shared" si="6"/>
        <v>1986.0470168739871</v>
      </c>
      <c r="G24" s="478">
        <f t="shared" si="7"/>
        <v>0</v>
      </c>
      <c r="H24" s="478">
        <f t="shared" si="8"/>
        <v>0</v>
      </c>
      <c r="I24" s="478">
        <f t="shared" si="9"/>
        <v>0</v>
      </c>
      <c r="J24" s="478">
        <f t="shared" si="10"/>
        <v>103.7105765937058</v>
      </c>
      <c r="K24" s="478">
        <f t="shared" si="11"/>
        <v>0</v>
      </c>
      <c r="L24" s="478">
        <f t="shared" si="12"/>
        <v>0</v>
      </c>
      <c r="M24" s="478">
        <f t="shared" si="13"/>
        <v>0</v>
      </c>
      <c r="N24" s="478">
        <f t="shared" si="14"/>
        <v>0</v>
      </c>
      <c r="O24" s="478">
        <f t="shared" si="15"/>
        <v>0</v>
      </c>
      <c r="P24" s="479">
        <f t="shared" si="16"/>
        <v>0</v>
      </c>
      <c r="Q24" s="477">
        <f t="shared" ca="1" si="17"/>
        <v>3265.4441152954287</v>
      </c>
    </row>
    <row r="25" spans="1:17">
      <c r="A25" s="477" t="s">
        <v>638</v>
      </c>
      <c r="B25" s="478">
        <f t="shared" ca="1" si="2"/>
        <v>5053.3034788952682</v>
      </c>
      <c r="C25" s="478">
        <f t="shared" ca="1" si="3"/>
        <v>0</v>
      </c>
      <c r="D25" s="478">
        <f t="shared" si="4"/>
        <v>3126.3952536520001</v>
      </c>
      <c r="E25" s="478">
        <f t="shared" si="5"/>
        <v>394.34529040516389</v>
      </c>
      <c r="F25" s="478">
        <f t="shared" si="6"/>
        <v>2592.464739245876</v>
      </c>
      <c r="G25" s="478">
        <f t="shared" si="7"/>
        <v>0</v>
      </c>
      <c r="H25" s="478">
        <f t="shared" si="8"/>
        <v>0</v>
      </c>
      <c r="I25" s="478">
        <f t="shared" si="9"/>
        <v>0</v>
      </c>
      <c r="J25" s="478">
        <f t="shared" si="10"/>
        <v>15.224897967623141</v>
      </c>
      <c r="K25" s="478">
        <f t="shared" si="11"/>
        <v>0</v>
      </c>
      <c r="L25" s="478">
        <f t="shared" si="12"/>
        <v>0</v>
      </c>
      <c r="M25" s="478">
        <f t="shared" si="13"/>
        <v>0</v>
      </c>
      <c r="N25" s="478">
        <f t="shared" si="14"/>
        <v>0</v>
      </c>
      <c r="O25" s="478">
        <f t="shared" si="15"/>
        <v>0</v>
      </c>
      <c r="P25" s="479">
        <f t="shared" si="16"/>
        <v>0</v>
      </c>
      <c r="Q25" s="477">
        <f t="shared" ca="1" si="17"/>
        <v>11181.73366016593</v>
      </c>
    </row>
    <row r="26" spans="1:17" s="483" customFormat="1">
      <c r="A26" s="481" t="s">
        <v>564</v>
      </c>
      <c r="B26" s="835">
        <f t="shared" ca="1" si="2"/>
        <v>2.5776776461447222</v>
      </c>
      <c r="C26" s="482">
        <f t="shared" ca="1" si="3"/>
        <v>0</v>
      </c>
      <c r="D26" s="482">
        <f t="shared" si="4"/>
        <v>6.1634823758520367</v>
      </c>
      <c r="E26" s="482">
        <f t="shared" si="5"/>
        <v>26.417696635661738</v>
      </c>
      <c r="F26" s="482">
        <f t="shared" si="6"/>
        <v>0</v>
      </c>
      <c r="G26" s="482">
        <f t="shared" si="7"/>
        <v>10111.888422954764</v>
      </c>
      <c r="H26" s="482">
        <f t="shared" si="8"/>
        <v>2032.177879096706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12179.225158709129</v>
      </c>
    </row>
    <row r="27" spans="1:17">
      <c r="A27" s="477" t="s">
        <v>554</v>
      </c>
      <c r="B27" s="478">
        <f t="shared" ca="1" si="2"/>
        <v>0</v>
      </c>
      <c r="C27" s="478">
        <f t="shared" ca="1" si="3"/>
        <v>0</v>
      </c>
      <c r="D27" s="478">
        <f t="shared" si="4"/>
        <v>0</v>
      </c>
      <c r="E27" s="478">
        <f t="shared" si="5"/>
        <v>0</v>
      </c>
      <c r="F27" s="478">
        <f t="shared" si="6"/>
        <v>0</v>
      </c>
      <c r="G27" s="478">
        <f t="shared" si="7"/>
        <v>235.11110076508587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235.11110076508587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14512.492936123403</v>
      </c>
      <c r="C31" s="488">
        <f t="shared" ca="1" si="18"/>
        <v>0</v>
      </c>
      <c r="D31" s="488">
        <f t="shared" ca="1" si="18"/>
        <v>19954.245679099855</v>
      </c>
      <c r="E31" s="488">
        <f t="shared" si="18"/>
        <v>1195.0653448111768</v>
      </c>
      <c r="F31" s="488">
        <f t="shared" ca="1" si="18"/>
        <v>10316.845308412465</v>
      </c>
      <c r="G31" s="488">
        <f t="shared" si="18"/>
        <v>10346.999523719849</v>
      </c>
      <c r="H31" s="488">
        <f t="shared" si="18"/>
        <v>2032.177879096706</v>
      </c>
      <c r="I31" s="488">
        <f t="shared" si="18"/>
        <v>0</v>
      </c>
      <c r="J31" s="488">
        <f t="shared" si="18"/>
        <v>118.93547456132893</v>
      </c>
      <c r="K31" s="488">
        <f t="shared" si="18"/>
        <v>0</v>
      </c>
      <c r="L31" s="488">
        <f t="shared" ca="1" si="18"/>
        <v>0</v>
      </c>
      <c r="M31" s="488">
        <f t="shared" si="18"/>
        <v>0</v>
      </c>
      <c r="N31" s="488">
        <f t="shared" ca="1" si="18"/>
        <v>0</v>
      </c>
      <c r="O31" s="488">
        <f t="shared" si="18"/>
        <v>0</v>
      </c>
      <c r="P31" s="489">
        <f t="shared" si="18"/>
        <v>0</v>
      </c>
      <c r="Q31" s="489">
        <f t="shared" ca="1" si="18"/>
        <v>58476.762145824781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0.20430231186123302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0.20430231186123302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0.20430231186123302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2018-06-27T09:44:46Z</dcterms:modified>
</cp:coreProperties>
</file>