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L16"/>
  <c r="L18" s="1"/>
  <c r="L8" i="48" s="1"/>
  <c r="C13" i="15"/>
  <c r="C16" s="1"/>
  <c r="D10" i="14" s="1"/>
  <c r="L6" i="17"/>
  <c r="L5" s="1"/>
  <c r="B8" i="9"/>
  <c r="I8" i="18"/>
  <c r="J68" i="14" s="1"/>
  <c r="I14" i="15"/>
  <c r="I16" s="1"/>
  <c r="J10" i="14" s="1"/>
  <c r="J15" s="1"/>
  <c r="B13" i="16"/>
  <c r="C35"/>
  <c r="E9" i="14"/>
  <c r="D14" i="15"/>
  <c r="P22" i="16"/>
  <c r="Q39" i="14" s="1"/>
  <c r="P18" i="16"/>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7" i="48"/>
  <c r="J24" s="1"/>
  <c r="I5"/>
  <c r="I22" s="1"/>
  <c r="I31" s="1"/>
  <c r="L22" i="16"/>
  <c r="M39" i="14" s="1"/>
  <c r="M13"/>
  <c r="J12" i="17"/>
  <c r="K48" i="14" s="1"/>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C50" i="13"/>
  <c r="J5" s="1"/>
  <c r="J8" s="1"/>
  <c r="E7" i="48"/>
  <c r="E24" s="1"/>
  <c r="E12" i="17"/>
  <c r="F48" i="14" s="1"/>
  <c r="C5" i="48"/>
  <c r="I14" l="1"/>
  <c r="P41" i="14"/>
  <c r="P53" s="1"/>
  <c r="N7" i="48"/>
  <c r="N24" s="1"/>
  <c r="G14" i="22"/>
  <c r="H14"/>
  <c r="P13" i="14"/>
  <c r="D8" i="48"/>
  <c r="D25" s="1"/>
  <c r="E16" i="15"/>
  <c r="E20" s="1"/>
  <c r="F36" i="14" s="1"/>
  <c r="J16" i="15"/>
  <c r="K10" i="14" s="1"/>
  <c r="O22"/>
  <c r="L7" i="48"/>
  <c r="L24" s="1"/>
  <c r="M22" i="14"/>
  <c r="P15"/>
  <c r="P23" s="1"/>
  <c r="M58" i="22"/>
  <c r="N44" i="14" s="1"/>
  <c r="N18"/>
  <c r="R18" s="1"/>
  <c r="O14" i="4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M9" i="48"/>
  <c r="N19" i="14"/>
  <c r="N20" s="1"/>
  <c r="N23" s="1"/>
  <c r="P14" i="48"/>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19" s="1"/>
  <c r="C19" s="1"/>
  <c r="D35" i="14" s="1"/>
  <c r="F10"/>
  <c r="R10" s="1"/>
  <c r="J5" i="48"/>
  <c r="J22" s="1"/>
  <c r="J20" i="15"/>
  <c r="K36" i="14" s="1"/>
  <c r="P55"/>
  <c r="E5" i="48"/>
  <c r="E22" s="1"/>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C15"/>
  <c r="C23" s="1"/>
  <c r="B3" i="6" s="1"/>
  <c r="E53" i="14"/>
  <c r="M36"/>
  <c r="M41" s="1"/>
  <c r="L14" i="48"/>
  <c r="M23" i="14"/>
  <c r="C29" i="20"/>
  <c r="Q4" i="48"/>
  <c r="N22"/>
  <c r="R11" i="14"/>
  <c r="J21" i="48"/>
  <c r="O13" i="14" l="1"/>
  <c r="O15" s="1"/>
  <c r="C10" i="13"/>
  <c r="C16" i="48" s="1"/>
  <c r="C30" s="1"/>
  <c r="F15" i="14"/>
  <c r="F23" s="1"/>
  <c r="F55" s="1"/>
  <c r="F22" i="16"/>
  <c r="G39" i="14" s="1"/>
  <c r="G41" s="1"/>
  <c r="G53" s="1"/>
  <c r="G55" s="1"/>
  <c r="O69" s="1"/>
  <c r="B9" i="6" s="1"/>
  <c r="B12" s="1"/>
  <c r="C18" i="15"/>
  <c r="C20" s="1"/>
  <c r="D36" i="14" s="1"/>
  <c r="C17" i="49"/>
  <c r="C56" i="22"/>
  <c r="C58" s="1"/>
  <c r="D44" i="14" s="1"/>
  <c r="D46" s="1"/>
  <c r="C10" i="17"/>
  <c r="C12" s="1"/>
  <c r="D48" i="14" s="1"/>
  <c r="Q5" i="48"/>
  <c r="C16" i="22"/>
  <c r="N22" i="16"/>
  <c r="O39" i="14" s="1"/>
  <c r="O41" s="1"/>
  <c r="O53" s="1"/>
  <c r="C20" i="16"/>
  <c r="C22" s="1"/>
  <c r="D39" i="14" s="1"/>
  <c r="K41"/>
  <c r="K53" s="1"/>
  <c r="F8" i="48"/>
  <c r="F14" s="1"/>
  <c r="N25"/>
  <c r="N31" s="1"/>
  <c r="N14"/>
  <c r="E25"/>
  <c r="E31" s="1"/>
  <c r="E14"/>
  <c r="K13" i="14"/>
  <c r="K15" s="1"/>
  <c r="K23" s="1"/>
  <c r="K55" s="1"/>
  <c r="H55"/>
  <c r="E55"/>
  <c r="C78"/>
  <c r="C81" s="1"/>
  <c r="J14" i="48"/>
  <c r="J31"/>
  <c r="Q8"/>
  <c r="Q14" s="1"/>
  <c r="R19" i="14"/>
  <c r="R20" s="1"/>
  <c r="H14" i="48"/>
  <c r="G31"/>
  <c r="H26"/>
  <c r="H31" s="1"/>
  <c r="M53" i="14"/>
  <c r="M55" s="1"/>
  <c r="C12" i="13"/>
  <c r="D37" i="14" s="1"/>
  <c r="D41" s="1"/>
  <c r="C29" i="48"/>
  <c r="C21"/>
  <c r="F25"/>
  <c r="F31" s="1"/>
  <c r="C26" l="1"/>
  <c r="R13" i="14"/>
  <c r="R15" s="1"/>
  <c r="C23" i="48"/>
  <c r="C31" s="1"/>
  <c r="C24"/>
  <c r="C27"/>
  <c r="C28"/>
  <c r="C22"/>
  <c r="C25"/>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<sst xmlns="http://schemas.openxmlformats.org/spreadsheetml/2006/main" count="1933" uniqueCount="824">
  <si>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</si>
  <si>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</si>
  <si>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</si>
  <si>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</si>
  <si>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</si>
  <si>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</si>
  <si>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</si>
  <si>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</si>
  <si>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</si>
  <si>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</si>
  <si>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</si>
  <si>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</si>
  <si>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</si>
  <si>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</si>
  <si>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</si>
  <si>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</si>
  <si>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</si>
  <si>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</si>
  <si>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</si>
  <si>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</si>
  <si>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</si>
  <si>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</si>
  <si>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</si>
  <si>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</si>
  <si>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</si>
  <si>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</si>
  <si>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</si>
  <si>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</si>
  <si>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</si>
  <si>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</si>
  <si>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</si>
  <si>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</si>
  <si>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</si>
  <si>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</si>
  <si>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</si>
  <si>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</si>
  <si>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</si>
  <si>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</si>
  <si>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</si>
  <si>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</si>
  <si>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</si>
  <si>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</si>
  <si>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</si>
  <si>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</si>
  <si>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</si>
  <si>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</si>
  <si>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</si>
  <si>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</si>
  <si>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</si>
  <si>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</si>
  <si>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</si>
  <si>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</si>
  <si>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</si>
  <si>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</si>
  <si>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</si>
  <si>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</si>
  <si>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</si>
  <si>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</si>
  <si>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</si>
  <si>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</si>
  <si>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</si>
  <si>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</si>
  <si>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</si>
  <si>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</si>
  <si>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</si>
  <si>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</si>
  <si>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</si>
  <si>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</si>
  <si>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</si>
  <si>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</si>
  <si>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</si>
  <si>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</si>
  <si>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</si>
  <si>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</si>
  <si>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</si>
  <si>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</si>
  <si>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</si>
  <si>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</si>
  <si>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</si>
  <si>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</si>
  <si>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</si>
  <si>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</si>
  <si>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</si>
  <si>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</si>
  <si>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</si>
  <si>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</si>
  <si>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</si>
  <si>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</si>
  <si>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</si>
  <si>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</si>
  <si>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</si>
  <si>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</si>
  <si>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</si>
  <si>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</si>
  <si>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</si>
  <si>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</si>
  <si>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</si>
  <si>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</si>
  <si>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</si>
  <si>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</si>
  <si>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</si>
  <si>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</si>
  <si>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</si>
  <si>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</si>
  <si>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</si>
  <si>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</si>
  <si>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</si>
  <si>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</si>
  <si>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</si>
  <si>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</si>
  <si>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</si>
  <si>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</si>
  <si>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</si>
  <si>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</si>
  <si>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</si>
  <si>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</si>
  <si>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</si>
  <si>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</si>
  <si>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</si>
  <si>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</si>
  <si>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</si>
  <si>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</si>
  <si>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</si>
  <si>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</si>
  <si>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</si>
  <si>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</si>
  <si>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</si>
  <si>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</si>
  <si>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</si>
  <si>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</si>
  <si>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</si>
  <si>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</si>
  <si>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</si>
  <si>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</si>
  <si>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</si>
  <si>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</si>
  <si>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</si>
  <si>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</si>
  <si>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</si>
  <si>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</si>
  <si>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</si>
  <si>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</si>
  <si>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</si>
  <si>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</si>
  <si>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</si>
  <si>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</si>
  <si>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</si>
  <si>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</si>
  <si>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</si>
  <si>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</si>
  <si>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</si>
  <si>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</si>
  <si>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</si>
  <si>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</si>
  <si>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</si>
  <si>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</si>
  <si>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</si>
  <si>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</si>
  <si>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</si>
  <si>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</si>
  <si>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</si>
  <si>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</si>
  <si>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</si>
  <si>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</si>
  <si>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</si>
  <si>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</si>
  <si>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</si>
  <si>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</si>
  <si>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</si>
  <si>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</si>
  <si>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</si>
  <si>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</si>
  <si>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</si>
  <si>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</si>
  <si>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</si>
  <si>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</si>
  <si>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</si>
  <si>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</si>
  <si>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</si>
  <si>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</si>
  <si>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</si>
  <si>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</si>
  <si>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</si>
  <si>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</si>
  <si>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</si>
  <si>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</si>
  <si>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</si>
  <si>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</si>
  <si>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</si>
  <si>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</si>
  <si>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</si>
  <si>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</si>
  <si>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</si>
  <si>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</si>
  <si>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</si>
  <si>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</si>
  <si>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</si>
  <si>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</si>
  <si>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</si>
  <si>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</si>
  <si>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</si>
  <si>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</si>
  <si>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</si>
  <si>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</si>
  <si>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</si>
  <si>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</si>
  <si>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</si>
  <si>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</si>
  <si>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</si>
  <si>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</si>
  <si>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</si>
  <si>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</si>
  <si>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</si>
  <si>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</si>
  <si>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</si>
  <si>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</si>
  <si>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</si>
  <si>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</si>
  <si>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</si>
  <si>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</si>
  <si>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</si>
  <si>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</si>
  <si>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</si>
  <si>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</si>
  <si>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</si>
  <si>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</si>
  <si>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</si>
  <si>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</si>
  <si>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</si>
  <si>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</si>
  <si>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</si>
  <si>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</si>
  <si>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</si>
  <si>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</si>
  <si>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</si>
  <si>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</si>
  <si>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</si>
  <si>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</si>
  <si>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</si>
  <si>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</si>
  <si>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</si>
  <si>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</si>
  <si>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</si>
  <si>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</si>
  <si>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</si>
  <si>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</si>
  <si>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</si>
  <si>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</si>
  <si>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</si>
  <si>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</si>
  <si>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</si>
  <si>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</si>
  <si>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</si>
  <si>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</si>
  <si>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</si>
  <si>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</si>
  <si>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</si>
  <si>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</si>
  <si>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</si>
  <si>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</si>
  <si>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</si>
  <si>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</si>
  <si>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</si>
  <si>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</si>
  <si>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</si>
  <si>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</si>
  <si>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</si>
  <si>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</si>
  <si>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</si>
  <si>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</si>
  <si>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</si>
  <si>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</si>
  <si>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</si>
  <si>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</si>
  <si>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</si>
  <si>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</si>
  <si>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</si>
  <si>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</si>
  <si>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</si>
  <si>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</si>
  <si>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</si>
  <si>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</si>
  <si>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</si>
  <si>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</si>
  <si>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</si>
  <si>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</si>
  <si>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</si>
  <si>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</si>
  <si>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</si>
  <si>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</si>
  <si>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</si>
  <si>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</si>
  <si>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</si>
  <si>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</si>
  <si>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</si>
  <si>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</si>
  <si>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</si>
  <si>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</si>
  <si>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</si>
  <si>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</si>
  <si>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</si>
  <si>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</si>
  <si>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</si>
  <si>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</si>
  <si>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</si>
  <si>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</si>
  <si>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</si>
  <si>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</si>
  <si>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</si>
  <si>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</si>
  <si>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</si>
  <si>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</si>
  <si>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</si>
  <si>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</si>
  <si>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</si>
  <si>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</si>
  <si>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</si>
  <si>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</si>
  <si>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</si>
  <si>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</si>
  <si>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</si>
  <si>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</si>
  <si>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</si>
  <si>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</si>
  <si>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</si>
  <si>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</si>
  <si>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</si>
  <si>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</si>
  <si>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</si>
  <si>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</si>
  <si>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</si>
  <si>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</si>
  <si>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</si>
  <si>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</si>
  <si>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</si>
  <si>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</si>
  <si>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</si>
  <si>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</si>
  <si>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</si>
  <si>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</si>
  <si>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</si>
  <si>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</si>
  <si>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</si>
  <si>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</si>
  <si>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</si>
  <si>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</si>
  <si>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</si>
  <si>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</si>
  <si>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</si>
  <si>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</si>
  <si>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</si>
  <si>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</si>
  <si>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</si>
  <si>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</si>
  <si>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</si>
  <si>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</si>
  <si>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</si>
  <si>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</si>
  <si>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</si>
  <si>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</si>
  <si>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</si>
  <si>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</si>
  <si>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</si>
  <si>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</si>
  <si>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</si>
  <si>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</si>
  <si>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</si>
  <si>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</si>
  <si>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</si>
  <si>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</si>
  <si>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</si>
  <si>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</si>
  <si>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</si>
  <si>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</si>
  <si>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</si>
  <si>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</si>
  <si>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</si>
  <si>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</si>
  <si>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</si>
  <si>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</si>
  <si>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</si>
  <si>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</si>
  <si>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</si>
  <si>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</si>
  <si>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</si>
  <si>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</si>
  <si>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</si>
  <si>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</si>
  <si>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</si>
  <si>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</si>
  <si>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</si>
  <si>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</si>
  <si>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</si>
  <si>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</si>
  <si>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</si>
  <si>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</si>
  <si>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</si>
  <si>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</si>
  <si>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</si>
  <si>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</si>
  <si>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</si>
  <si>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</si>
  <si>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</si>
  <si>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</si>
  <si>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</si>
  <si>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</si>
  <si>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</si>
  <si>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</si>
  <si>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</si>
  <si>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</si>
  <si>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</si>
  <si>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</si>
  <si>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</si>
  <si>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</si>
  <si>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</si>
  <si>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</si>
  <si>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</si>
  <si>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</si>
  <si>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</si>
  <si>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</si>
  <si>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</si>
  <si>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</si>
  <si>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</si>
  <si>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</si>
  <si>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</si>
  <si>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</si>
  <si>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</si>
  <si>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</si>
  <si>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</si>
  <si>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</si>
  <si>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</si>
  <si>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</si>
  <si>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</si>
  <si>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</si>
  <si>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</si>
  <si>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</si>
  <si>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</si>
  <si>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</si>
  <si>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</si>
  <si>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</si>
  <si>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</si>
  <si>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</si>
  <si>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</si>
  <si>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</si>
  <si>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</si>
  <si>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</si>
  <si>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</si>
  <si>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</si>
  <si>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</si>
  <si>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</si>
  <si>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</si>
  <si>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</si>
  <si>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</si>
  <si>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</si>
  <si>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</si>
  <si>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</si>
  <si>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</si>
  <si>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</si>
  <si>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</si>
  <si>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</si>
  <si>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</si>
  <si>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</si>
  <si>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</si>
  <si>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</si>
  <si>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</si>
  <si>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</si>
  <si>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</si>
  <si>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</si>
  <si>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</si>
  <si>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</si>
  <si>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</si>
  <si>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</si>
  <si>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</si>
  <si>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</si>
  <si>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</si>
  <si>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</si>
  <si>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</si>
  <si>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</si>
  <si>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</si>
  <si>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</si>
  <si>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</si>
  <si>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</si>
  <si>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</si>
  <si>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</si>
  <si>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</si>
  <si>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</si>
  <si>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</si>
  <si>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</si>
  <si>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</si>
  <si>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</si>
  <si>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</si>
  <si>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</si>
  <si>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</si>
  <si>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</si>
  <si>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</si>
  <si>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</si>
  <si>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</si>
  <si>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</si>
  <si>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</si>
  <si>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</si>
  <si>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</si>
  <si>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</si>
  <si>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</si>
  <si>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</si>
  <si>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</si>
  <si>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</si>
  <si>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</si>
  <si>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</si>
  <si>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</si>
  <si>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</si>
  <si>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</si>
  <si>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</si>
  <si>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</si>
  <si>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</si>
  <si>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</si>
  <si>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</si>
  <si>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</si>
  <si>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</si>
  <si>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</si>
  <si>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</si>
  <si>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</si>
  <si>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</si>
  <si>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</si>
  <si>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</si>
  <si>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</si>
  <si>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</si>
  <si>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</si>
  <si>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</si>
  <si>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</si>
  <si>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</si>
  <si>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</si>
  <si>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</si>
  <si>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</si>
  <si>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</si>
  <si>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</si>
  <si>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</si>
  <si>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</si>
  <si>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</si>
  <si>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</si>
  <si>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</si>
  <si>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</si>
  <si>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</si>
  <si>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</si>
  <si>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</si>
  <si>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</si>
  <si>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</si>
  <si>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</si>
  <si>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</si>
  <si>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</si>
  <si>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</si>
  <si>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</si>
  <si>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</si>
  <si>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</si>
  <si>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</si>
  <si>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</si>
  <si>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</si>
  <si>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</si>
  <si>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</si>
  <si>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</si>
  <si>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</si>
  <si>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</si>
  <si>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</si>
  <si>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</si>
  <si>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</si>
  <si>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</si>
  <si>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</si>
  <si>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</si>
  <si>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</si>
  <si>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</si>
  <si>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</si>
  <si>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</si>
  <si>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</si>
  <si>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</si>
  <si>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</si>
  <si>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</si>
  <si>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</si>
  <si>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</si>
  <si>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</si>
  <si>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</si>
  <si>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</si>
  <si>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</si>
  <si>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</si>
  <si>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</si>
  <si>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</si>
  <si>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</si>
  <si>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</si>
  <si>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</si>
  <si>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</si>
  <si>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</si>
  <si>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</si>
  <si>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</si>
  <si>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</si>
  <si>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</si>
  <si>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</si>
  <si>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</si>
  <si>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</si>
  <si>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</si>
  <si>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</si>
  <si>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</si>
  <si>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</si>
  <si>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</si>
  <si>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</si>
  <si>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</si>
  <si>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</si>
  <si>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</si>
  <si>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</si>
  <si>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</si>
  <si>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</si>
  <si>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</si>
  <si>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</si>
  <si>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</si>
  <si>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</si>
  <si>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</si>
  <si>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</si>
  <si>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</si>
  <si>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</si>
  <si>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</si>
  <si>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</si>
  <si>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</si>
  <si>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</si>
  <si>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</si>
  <si>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</si>
  <si>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</si>
  <si>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</si>
  <si>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</si>
  <si>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</si>
  <si>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</si>
  <si>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</si>
  <si>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</si>
  <si>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</si>
  <si>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</si>
  <si>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</si>
  <si>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</si>
  <si>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</si>
  <si>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</si>
  <si>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</si>
  <si>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</si>
  <si>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</si>
  <si>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</si>
  <si>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</si>
  <si>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</si>
  <si>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</si>
  <si>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</si>
  <si>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</si>
  <si>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</si>
  <si>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</si>
  <si>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</si>
  <si>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</si>
  <si>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</si>
  <si>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</si>
  <si>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</si>
  <si>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</si>
  <si>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</si>
  <si>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</si>
  <si>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</si>
  <si>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</si>
  <si>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</si>
  <si>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</si>
  <si>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</si>
  <si>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</si>
  <si>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</si>
  <si>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</si>
  <si>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</si>
  <si>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</si>
  <si>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</si>
  <si>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</si>
  <si>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</si>
  <si>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</si>
  <si>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</si>
  <si>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</si>
  <si>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</si>
  <si>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</si>
  <si>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</si>
  <si>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</si>
  <si>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</si>
  <si>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</si>
  <si>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</si>
  <si>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</si>
  <si>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</si>
  <si>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</si>
  <si>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</si>
  <si>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</si>
  <si>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</si>
  <si>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</si>
  <si>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</si>
  <si>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</si>
  <si>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</si>
  <si>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</si>
  <si>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</si>
  <si>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</si>
  <si>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</si>
  <si>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</si>
  <si>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</si>
  <si>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</si>
  <si>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</si>
  <si>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</si>
  <si>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</si>
  <si>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</si>
  <si>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</si>
  <si>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</si>
  <si>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</si>
  <si>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</si>
  <si>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</si>
  <si>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</si>
  <si>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</si>
  <si>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</si>
  <si>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</si>
  <si>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</si>
  <si>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</si>
  <si>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</si>
  <si>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</si>
  <si>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</si>
  <si>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</si>
  <si>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</si>
  <si>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</si>
  <si>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</si>
  <si>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</si>
  <si>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</si>
  <si>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</si>
  <si>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</si>
  <si>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</si>
  <si>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</si>
  <si>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</si>
  <si>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</si>
  <si>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</si>
  <si>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</si>
  <si>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</si>
  <si>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</si>
  <si>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</si>
  <si>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</si>
  <si>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</si>
  <si>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</si>
  <si>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</si>
  <si>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</si>
  <si>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</si>
  <si>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</si>
  <si>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</si>
  <si>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</si>
  <si>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</si>
  <si>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</si>
  <si>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</si>
  <si>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</si>
  <si>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</si>
  <si>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</si>
  <si>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</si>
  <si>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</si>
  <si>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</si>
  <si>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</si>
  <si>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</si>
  <si>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</si>
  <si>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</si>
  <si>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</si>
  <si>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</si>
  <si>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</si>
  <si>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</si>
  <si>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</si>
  <si>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</si>
  <si>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</si>
  <si>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</si>
  <si>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</si>
  <si>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</si>
  <si>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</si>
  <si>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</si>
  <si>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</si>
  <si>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</si>
  <si>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</si>
  <si>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</si>
  <si>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</si>
  <si>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</si>
  <si>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</si>
  <si>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</si>
  <si>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</si>
  <si>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</si>
  <si>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</si>
  <si>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</si>
  <si>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</si>
  <si>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</si>
  <si>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</si>
  <si>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</si>
  <si>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</si>
  <si>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</si>
  <si>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</si>
  <si>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</si>
  <si>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</si>
  <si>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</si>
  <si>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</si>
  <si>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</si>
  <si>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</si>
  <si>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</si>
  <si>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</si>
  <si>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</si>
  <si>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</si>
  <si>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</si>
  <si>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</si>
  <si>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</si>
  <si>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</si>
  <si>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</si>
  <si>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</si>
  <si>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</si>
  <si>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</si>
  <si>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</si>
  <si>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</si>
  <si>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</si>
  <si>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</si>
  <si>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</si>
  <si>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</si>
  <si>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</si>
  <si>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</si>
  <si>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</si>
  <si>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</si>
  <si>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72029</t>
  </si>
  <si>
    <t>OVERPELT</t>
  </si>
  <si>
    <t>Paarden&amp;pony's 200 - 600 kg</t>
  </si>
  <si>
    <t>Paarden&amp;pony's &lt; 200 kg</t>
  </si>
  <si>
    <t>referentietaak LNE (2017); Jaarverslag De Lijn (2015)</t>
  </si>
  <si>
    <t>op basis van VEA (maart 2018) en Inventaris Hernieuwbare Energiebronnen (juni 2018)</t>
  </si>
  <si>
    <t>VEA (januari 2017)</t>
  </si>
  <si>
    <t>VEA (juni 2018)</t>
  </si>
  <si>
    <t>Rik Theuwis</t>
  </si>
  <si>
    <t>Schansstraat 88 , 3900 Overpelt</t>
  </si>
  <si>
    <t>WKK-0450 Rik Theuwis</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</si>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</sst>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115515.05301257361</c:v>
                </c:pt>
                <c:pt idx="1">
                  <c:v>66528.494147467063</c:v>
                </c:pt>
                <c:pt idx="2">
                  <c:v>1012.429</c:v>
                </c:pt>
                <c:pt idx="3">
                  <c:v>2559.5152022154689</c:v>
                </c:pt>
                <c:pt idx="4">
                  <c:v>236399.1830353741</c:v>
                </c:pt>
                <c:pt idx="5">
                  <c:v>97005.64464551289</c:v>
                </c:pt>
                <c:pt idx="6">
                  <c:v>2159.4830229432509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85088"/>
        <c:axId val="182986624"/>
      </c:barChart>
      <c:catAx>
        <c:axId val="182985088"/>
        <c:scaling>
          <c:orientation val="minMax"/>
        </c:scaling>
        <c:axPos val="b"/>
        <c:numFmt formatCode="General" sourceLinked="0"/>
        <c:tickLblPos val="nextTo"/>
        <c:crossAx val="182986624"/>
        <c:crosses val="autoZero"/>
        <c:auto val="1"/>
        <c:lblAlgn val="ctr"/>
        <c:lblOffset val="100"/>
      </c:catAx>
      <c:valAx>
        <c:axId val="182986624"/>
        <c:scaling>
          <c:orientation val="minMax"/>
        </c:scaling>
        <c:axPos val="l"/>
        <c:majorGridlines/>
        <c:numFmt formatCode="#,##0" sourceLinked="1"/>
        <c:tickLblPos val="nextTo"/>
        <c:crossAx val="1829850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115515.05301257361</c:v>
                </c:pt>
                <c:pt idx="1">
                  <c:v>66528.494147467063</c:v>
                </c:pt>
                <c:pt idx="2">
                  <c:v>1012.429</c:v>
                </c:pt>
                <c:pt idx="3">
                  <c:v>2559.5152022154689</c:v>
                </c:pt>
                <c:pt idx="4">
                  <c:v>236399.1830353741</c:v>
                </c:pt>
                <c:pt idx="5">
                  <c:v>97005.64464551289</c:v>
                </c:pt>
                <c:pt idx="6">
                  <c:v>2159.4830229432509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20464.528145891469</c:v>
                </c:pt>
                <c:pt idx="1">
                  <c:v>12862.88833790597</c:v>
                </c:pt>
                <c:pt idx="2">
                  <c:v>185.94094116583764</c:v>
                </c:pt>
                <c:pt idx="3">
                  <c:v>627.17585882962874</c:v>
                </c:pt>
                <c:pt idx="4">
                  <c:v>45026.516260017321</c:v>
                </c:pt>
                <c:pt idx="5">
                  <c:v>24823.24559717119</c:v>
                </c:pt>
                <c:pt idx="6">
                  <c:v>559.2357260169515</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93280"/>
        <c:axId val="183546624"/>
      </c:barChart>
      <c:catAx>
        <c:axId val="183393280"/>
        <c:scaling>
          <c:orientation val="minMax"/>
        </c:scaling>
        <c:axPos val="b"/>
        <c:numFmt formatCode="General" sourceLinked="0"/>
        <c:tickLblPos val="nextTo"/>
        <c:crossAx val="183546624"/>
        <c:crosses val="autoZero"/>
        <c:auto val="1"/>
        <c:lblAlgn val="ctr"/>
        <c:lblOffset val="100"/>
      </c:catAx>
      <c:valAx>
        <c:axId val="183546624"/>
        <c:scaling>
          <c:orientation val="minMax"/>
        </c:scaling>
        <c:axPos val="l"/>
        <c:majorGridlines/>
        <c:numFmt formatCode="#,##0" sourceLinked="1"/>
        <c:tickLblPos val="nextTo"/>
        <c:crossAx val="1833932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20464.528145891469</c:v>
                </c:pt>
                <c:pt idx="1">
                  <c:v>12862.88833790597</c:v>
                </c:pt>
                <c:pt idx="2">
                  <c:v>185.94094116583764</c:v>
                </c:pt>
                <c:pt idx="3">
                  <c:v>627.17585882962874</c:v>
                </c:pt>
                <c:pt idx="4">
                  <c:v>45026.516260017321</c:v>
                </c:pt>
                <c:pt idx="5">
                  <c:v>24823.24559717119</c:v>
                </c:pt>
                <c:pt idx="6">
                  <c:v>559.2357260169515</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72029</v>
      </c>
      <c r="B6" s="415"/>
      <c r="C6" s="416"/>
    </row>
    <row r="7" spans="1:7" s="413" customFormat="1" ht="15.75" customHeight="1">
      <c r="A7" s="417" t="str">
        <f>txtMunicipality</f>
        <v>OVERPELT</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29132.102999999999</v>
      </c>
      <c r="D10" s="718">
        <f ca="1">tertiair!C16</f>
        <v>0</v>
      </c>
      <c r="E10" s="718">
        <f ca="1">tertiair!D16</f>
        <v>28853.01815</v>
      </c>
      <c r="F10" s="718">
        <f>tertiair!E16</f>
        <v>374.06195221887293</v>
      </c>
      <c r="G10" s="718">
        <f ca="1">tertiair!F16</f>
        <v>6686.3536102005555</v>
      </c>
      <c r="H10" s="718">
        <f>tertiair!G16</f>
        <v>0</v>
      </c>
      <c r="I10" s="718">
        <f>tertiair!H16</f>
        <v>0</v>
      </c>
      <c r="J10" s="718">
        <f>tertiair!I16</f>
        <v>0</v>
      </c>
      <c r="K10" s="718">
        <f>tertiair!J16</f>
        <v>0</v>
      </c>
      <c r="L10" s="718">
        <f>tertiair!K16</f>
        <v>0</v>
      </c>
      <c r="M10" s="718">
        <f ca="1">tertiair!L16</f>
        <v>0</v>
      </c>
      <c r="N10" s="718">
        <f>tertiair!M16</f>
        <v>0</v>
      </c>
      <c r="O10" s="718">
        <f ca="1">tertiair!N16</f>
        <v>2457.2531017143087</v>
      </c>
      <c r="P10" s="718">
        <f>tertiair!O16</f>
        <v>0</v>
      </c>
      <c r="Q10" s="719">
        <f>tertiair!P16</f>
        <v>38.133333333333333</v>
      </c>
      <c r="R10" s="721">
        <f ca="1">SUM(C10:Q10)</f>
        <v>67540.923147467067</v>
      </c>
      <c r="S10" s="67"/>
    </row>
    <row r="11" spans="1:19" s="474" customFormat="1">
      <c r="A11" s="870" t="s">
        <v>225</v>
      </c>
      <c r="B11" s="875"/>
      <c r="C11" s="718">
        <f>huishoudens!B8</f>
        <v>25956.110897696821</v>
      </c>
      <c r="D11" s="718">
        <f>huishoudens!C8</f>
        <v>0</v>
      </c>
      <c r="E11" s="718">
        <f>huishoudens!D8</f>
        <v>51731.126062000003</v>
      </c>
      <c r="F11" s="718">
        <f>huishoudens!E8</f>
        <v>7688.476708919402</v>
      </c>
      <c r="G11" s="718">
        <f>huishoudens!F8</f>
        <v>13117.986865098032</v>
      </c>
      <c r="H11" s="718">
        <f>huishoudens!G8</f>
        <v>0</v>
      </c>
      <c r="I11" s="718">
        <f>huishoudens!H8</f>
        <v>0</v>
      </c>
      <c r="J11" s="718">
        <f>huishoudens!I8</f>
        <v>0</v>
      </c>
      <c r="K11" s="718">
        <f>huishoudens!J8</f>
        <v>0</v>
      </c>
      <c r="L11" s="718">
        <f>huishoudens!K8</f>
        <v>0</v>
      </c>
      <c r="M11" s="718">
        <f>huishoudens!L8</f>
        <v>0</v>
      </c>
      <c r="N11" s="718">
        <f>huishoudens!M8</f>
        <v>0</v>
      </c>
      <c r="O11" s="718">
        <f>huishoudens!N8</f>
        <v>15117.079145526026</v>
      </c>
      <c r="P11" s="718">
        <f>huishoudens!O8</f>
        <v>340.80666666666667</v>
      </c>
      <c r="Q11" s="719">
        <f>huishoudens!P8</f>
        <v>1563.4666666666667</v>
      </c>
      <c r="R11" s="721">
        <f>SUM(C11:Q11)</f>
        <v>115515.05301257361</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61783.987999999998</v>
      </c>
      <c r="D13" s="718">
        <f>industrie!C18</f>
        <v>0</v>
      </c>
      <c r="E13" s="718">
        <f>industrie!D18</f>
        <v>122041.57866999999</v>
      </c>
      <c r="F13" s="718">
        <f>industrie!E18</f>
        <v>5724.4765602567149</v>
      </c>
      <c r="G13" s="718">
        <f>industrie!F18</f>
        <v>28402.246035855631</v>
      </c>
      <c r="H13" s="718">
        <f>industrie!G18</f>
        <v>0</v>
      </c>
      <c r="I13" s="718">
        <f>industrie!H18</f>
        <v>0</v>
      </c>
      <c r="J13" s="718">
        <f>industrie!I18</f>
        <v>0</v>
      </c>
      <c r="K13" s="718">
        <f>industrie!J18</f>
        <v>407.12489938400074</v>
      </c>
      <c r="L13" s="718">
        <f>industrie!K18</f>
        <v>0</v>
      </c>
      <c r="M13" s="718">
        <f>industrie!L18</f>
        <v>0</v>
      </c>
      <c r="N13" s="718">
        <f>industrie!M18</f>
        <v>0</v>
      </c>
      <c r="O13" s="718">
        <f>industrie!N18</f>
        <v>18039.768869877778</v>
      </c>
      <c r="P13" s="718">
        <f>industrie!O18</f>
        <v>0</v>
      </c>
      <c r="Q13" s="719">
        <f>industrie!P18</f>
        <v>0</v>
      </c>
      <c r="R13" s="721">
        <f>SUM(C13:Q13)</f>
        <v>236399.1830353741</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116872.20189769682</v>
      </c>
      <c r="D15" s="723">
        <f t="shared" ref="D15:Q15" ca="1" si="0">SUM(D9:D14)</f>
        <v>0</v>
      </c>
      <c r="E15" s="723">
        <f t="shared" ca="1" si="0"/>
        <v>202625.72288199997</v>
      </c>
      <c r="F15" s="723">
        <f t="shared" si="0"/>
        <v>13787.01522139499</v>
      </c>
      <c r="G15" s="723">
        <f t="shared" ca="1" si="0"/>
        <v>48206.586511154223</v>
      </c>
      <c r="H15" s="723">
        <f t="shared" si="0"/>
        <v>0</v>
      </c>
      <c r="I15" s="723">
        <f t="shared" si="0"/>
        <v>0</v>
      </c>
      <c r="J15" s="723">
        <f t="shared" si="0"/>
        <v>0</v>
      </c>
      <c r="K15" s="723">
        <f t="shared" si="0"/>
        <v>407.12489938400074</v>
      </c>
      <c r="L15" s="723">
        <f t="shared" si="0"/>
        <v>0</v>
      </c>
      <c r="M15" s="723">
        <f t="shared" ca="1" si="0"/>
        <v>0</v>
      </c>
      <c r="N15" s="723">
        <f t="shared" si="0"/>
        <v>0</v>
      </c>
      <c r="O15" s="723">
        <f t="shared" ca="1" si="0"/>
        <v>35614.101117118116</v>
      </c>
      <c r="P15" s="723">
        <f t="shared" si="0"/>
        <v>340.80666666666667</v>
      </c>
      <c r="Q15" s="724">
        <f t="shared" si="0"/>
        <v>1601.6000000000001</v>
      </c>
      <c r="R15" s="725">
        <f ca="1">SUM(R9:R14)</f>
        <v>419455.15919541474</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2094.5158277788446</v>
      </c>
      <c r="I18" s="718">
        <f>transport!H54</f>
        <v>0</v>
      </c>
      <c r="J18" s="718">
        <f>transport!I54</f>
        <v>0</v>
      </c>
      <c r="K18" s="718">
        <f>transport!J54</f>
        <v>0</v>
      </c>
      <c r="L18" s="718">
        <f>transport!K54</f>
        <v>0</v>
      </c>
      <c r="M18" s="718">
        <f>transport!L54</f>
        <v>0</v>
      </c>
      <c r="N18" s="718">
        <f>transport!M54</f>
        <v>64.967195164406547</v>
      </c>
      <c r="O18" s="718">
        <f>transport!N54</f>
        <v>0</v>
      </c>
      <c r="P18" s="718">
        <f>transport!O54</f>
        <v>0</v>
      </c>
      <c r="Q18" s="719">
        <f>transport!P54</f>
        <v>0</v>
      </c>
      <c r="R18" s="721">
        <f>SUM(C18:Q18)</f>
        <v>2159.4830229432509</v>
      </c>
      <c r="S18" s="67"/>
    </row>
    <row r="19" spans="1:19" s="474" customFormat="1" ht="15" thickBot="1">
      <c r="A19" s="870" t="s">
        <v>307</v>
      </c>
      <c r="B19" s="875"/>
      <c r="C19" s="727">
        <f>transport!B14</f>
        <v>25.21196425952396</v>
      </c>
      <c r="D19" s="727">
        <f>transport!C14</f>
        <v>0</v>
      </c>
      <c r="E19" s="727">
        <f>transport!D14</f>
        <v>58.001175159285019</v>
      </c>
      <c r="F19" s="727">
        <f>transport!E14</f>
        <v>222.88231106287552</v>
      </c>
      <c r="G19" s="727">
        <f>transport!F14</f>
        <v>0</v>
      </c>
      <c r="H19" s="727">
        <f>transport!G14</f>
        <v>78207.474727181325</v>
      </c>
      <c r="I19" s="727">
        <f>transport!H14</f>
        <v>15561.883284000864</v>
      </c>
      <c r="J19" s="727">
        <f>transport!I14</f>
        <v>0</v>
      </c>
      <c r="K19" s="727">
        <f>transport!J14</f>
        <v>0</v>
      </c>
      <c r="L19" s="727">
        <f>transport!K14</f>
        <v>0</v>
      </c>
      <c r="M19" s="727">
        <f>transport!L14</f>
        <v>0</v>
      </c>
      <c r="N19" s="727">
        <f>transport!M14</f>
        <v>2930.1911838489982</v>
      </c>
      <c r="O19" s="727">
        <f>transport!N14</f>
        <v>0</v>
      </c>
      <c r="P19" s="727">
        <f>transport!O14</f>
        <v>0</v>
      </c>
      <c r="Q19" s="728">
        <f>transport!P14</f>
        <v>0</v>
      </c>
      <c r="R19" s="729">
        <f>SUM(C19:Q19)</f>
        <v>97005.64464551289</v>
      </c>
      <c r="S19" s="67"/>
    </row>
    <row r="20" spans="1:19" s="474" customFormat="1" ht="15.75" thickBot="1">
      <c r="A20" s="730" t="s">
        <v>230</v>
      </c>
      <c r="B20" s="878"/>
      <c r="C20" s="873">
        <f>SUM(C17:C19)</f>
        <v>25.21196425952396</v>
      </c>
      <c r="D20" s="731">
        <f t="shared" ref="D20:R20" si="1">SUM(D17:D19)</f>
        <v>0</v>
      </c>
      <c r="E20" s="731">
        <f t="shared" si="1"/>
        <v>58.001175159285019</v>
      </c>
      <c r="F20" s="731">
        <f t="shared" si="1"/>
        <v>222.88231106287552</v>
      </c>
      <c r="G20" s="731">
        <f t="shared" si="1"/>
        <v>0</v>
      </c>
      <c r="H20" s="731">
        <f t="shared" si="1"/>
        <v>80301.990554960168</v>
      </c>
      <c r="I20" s="731">
        <f t="shared" si="1"/>
        <v>15561.883284000864</v>
      </c>
      <c r="J20" s="731">
        <f t="shared" si="1"/>
        <v>0</v>
      </c>
      <c r="K20" s="731">
        <f t="shared" si="1"/>
        <v>0</v>
      </c>
      <c r="L20" s="731">
        <f t="shared" si="1"/>
        <v>0</v>
      </c>
      <c r="M20" s="731">
        <f t="shared" si="1"/>
        <v>0</v>
      </c>
      <c r="N20" s="731">
        <f t="shared" si="1"/>
        <v>2995.1583790134046</v>
      </c>
      <c r="O20" s="731">
        <f t="shared" si="1"/>
        <v>0</v>
      </c>
      <c r="P20" s="731">
        <f t="shared" si="1"/>
        <v>0</v>
      </c>
      <c r="Q20" s="732">
        <f t="shared" si="1"/>
        <v>0</v>
      </c>
      <c r="R20" s="733">
        <f t="shared" si="1"/>
        <v>99165.127668456145</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507.70800000000003</v>
      </c>
      <c r="D22" s="727">
        <f>+landbouw!C8</f>
        <v>62.357142857142847</v>
      </c>
      <c r="E22" s="727">
        <f>+landbouw!D8</f>
        <v>47.497516000000005</v>
      </c>
      <c r="F22" s="727">
        <f>+landbouw!E8</f>
        <v>13.091839946656323</v>
      </c>
      <c r="G22" s="727">
        <f>+landbouw!F8</f>
        <v>1855.7694282917591</v>
      </c>
      <c r="H22" s="727">
        <f>+landbouw!G8</f>
        <v>0</v>
      </c>
      <c r="I22" s="727">
        <f>+landbouw!H8</f>
        <v>0</v>
      </c>
      <c r="J22" s="727">
        <f>+landbouw!I8</f>
        <v>0</v>
      </c>
      <c r="K22" s="727">
        <f>+landbouw!J8</f>
        <v>73.091275119910222</v>
      </c>
      <c r="L22" s="727">
        <f>+landbouw!K8</f>
        <v>0</v>
      </c>
      <c r="M22" s="727">
        <f>+landbouw!L8</f>
        <v>0</v>
      </c>
      <c r="N22" s="727">
        <f>+landbouw!M8</f>
        <v>0</v>
      </c>
      <c r="O22" s="727">
        <f>+landbouw!N8</f>
        <v>0</v>
      </c>
      <c r="P22" s="727">
        <f>+landbouw!O8</f>
        <v>0</v>
      </c>
      <c r="Q22" s="728">
        <f>+landbouw!P8</f>
        <v>0</v>
      </c>
      <c r="R22" s="729">
        <f>SUM(C22:Q22)</f>
        <v>2559.5152022154689</v>
      </c>
      <c r="S22" s="67"/>
    </row>
    <row r="23" spans="1:19" s="474" customFormat="1" ht="17.25" thickTop="1" thickBot="1">
      <c r="A23" s="734" t="s">
        <v>116</v>
      </c>
      <c r="B23" s="864"/>
      <c r="C23" s="735">
        <f ca="1">C20+C15+C22</f>
        <v>117405.12186195634</v>
      </c>
      <c r="D23" s="735">
        <f t="shared" ref="D23:Q23" ca="1" si="2">D20+D15+D22</f>
        <v>62.357142857142847</v>
      </c>
      <c r="E23" s="735">
        <f t="shared" ca="1" si="2"/>
        <v>202731.22157315927</v>
      </c>
      <c r="F23" s="735">
        <f t="shared" si="2"/>
        <v>14022.989372404521</v>
      </c>
      <c r="G23" s="735">
        <f t="shared" ca="1" si="2"/>
        <v>50062.355939445981</v>
      </c>
      <c r="H23" s="735">
        <f t="shared" si="2"/>
        <v>80301.990554960168</v>
      </c>
      <c r="I23" s="735">
        <f t="shared" si="2"/>
        <v>15561.883284000864</v>
      </c>
      <c r="J23" s="735">
        <f t="shared" si="2"/>
        <v>0</v>
      </c>
      <c r="K23" s="735">
        <f t="shared" si="2"/>
        <v>480.21617450391096</v>
      </c>
      <c r="L23" s="735">
        <f t="shared" si="2"/>
        <v>0</v>
      </c>
      <c r="M23" s="735">
        <f t="shared" ca="1" si="2"/>
        <v>0</v>
      </c>
      <c r="N23" s="735">
        <f t="shared" si="2"/>
        <v>2995.1583790134046</v>
      </c>
      <c r="O23" s="735">
        <f t="shared" ca="1" si="2"/>
        <v>35614.101117118116</v>
      </c>
      <c r="P23" s="735">
        <f t="shared" si="2"/>
        <v>340.80666666666667</v>
      </c>
      <c r="Q23" s="736">
        <f t="shared" si="2"/>
        <v>1601.6000000000001</v>
      </c>
      <c r="R23" s="737">
        <f ca="1">R20+R15+R22</f>
        <v>521179.80206608638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5350.3511356945746</v>
      </c>
      <c r="D36" s="718">
        <f ca="1">tertiair!C20</f>
        <v>0</v>
      </c>
      <c r="E36" s="718">
        <f ca="1">tertiair!D20</f>
        <v>5828.3096663000006</v>
      </c>
      <c r="F36" s="718">
        <f>tertiair!E20</f>
        <v>84.912063153684159</v>
      </c>
      <c r="G36" s="718">
        <f ca="1">tertiair!F20</f>
        <v>1785.2564139235485</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13048.829279071808</v>
      </c>
    </row>
    <row r="37" spans="1:18">
      <c r="A37" s="885" t="s">
        <v>225</v>
      </c>
      <c r="B37" s="892"/>
      <c r="C37" s="718">
        <f ca="1">huishoudens!B12</f>
        <v>4767.0539754615902</v>
      </c>
      <c r="D37" s="718">
        <f ca="1">huishoudens!C12</f>
        <v>0</v>
      </c>
      <c r="E37" s="718">
        <f>huishoudens!D12</f>
        <v>10449.687464524</v>
      </c>
      <c r="F37" s="718">
        <f>huishoudens!E12</f>
        <v>1745.2842129247042</v>
      </c>
      <c r="G37" s="718">
        <f>huishoudens!F12</f>
        <v>3502.5024929811748</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20464.528145891469</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11347.139283543655</v>
      </c>
      <c r="D39" s="718">
        <f ca="1">industrie!C22</f>
        <v>0</v>
      </c>
      <c r="E39" s="718">
        <f>industrie!D22</f>
        <v>24652.398891339999</v>
      </c>
      <c r="F39" s="718">
        <f>industrie!E22</f>
        <v>1299.4561791782744</v>
      </c>
      <c r="G39" s="718">
        <f>industrie!F22</f>
        <v>7583.3996915734542</v>
      </c>
      <c r="H39" s="718">
        <f>industrie!G22</f>
        <v>0</v>
      </c>
      <c r="I39" s="718">
        <f>industrie!H22</f>
        <v>0</v>
      </c>
      <c r="J39" s="718">
        <f>industrie!I22</f>
        <v>0</v>
      </c>
      <c r="K39" s="718">
        <f>industrie!J22</f>
        <v>144.12221438193626</v>
      </c>
      <c r="L39" s="718">
        <f>industrie!K22</f>
        <v>0</v>
      </c>
      <c r="M39" s="718">
        <f>industrie!L22</f>
        <v>0</v>
      </c>
      <c r="N39" s="718">
        <f>industrie!M22</f>
        <v>0</v>
      </c>
      <c r="O39" s="718">
        <f>industrie!N22</f>
        <v>0</v>
      </c>
      <c r="P39" s="718">
        <f>industrie!O22</f>
        <v>0</v>
      </c>
      <c r="Q39" s="828">
        <f>industrie!P22</f>
        <v>0</v>
      </c>
      <c r="R39" s="918">
        <f ca="1">SUM(C39:Q39)</f>
        <v>45026.516260017321</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21464.54439469982</v>
      </c>
      <c r="D41" s="763">
        <f t="shared" ref="D41:R41" ca="1" si="4">SUM(D35:D40)</f>
        <v>0</v>
      </c>
      <c r="E41" s="763">
        <f t="shared" ca="1" si="4"/>
        <v>40930.396022164001</v>
      </c>
      <c r="F41" s="763">
        <f t="shared" si="4"/>
        <v>3129.6524552566625</v>
      </c>
      <c r="G41" s="763">
        <f t="shared" ca="1" si="4"/>
        <v>12871.158598478178</v>
      </c>
      <c r="H41" s="763">
        <f t="shared" si="4"/>
        <v>0</v>
      </c>
      <c r="I41" s="763">
        <f t="shared" si="4"/>
        <v>0</v>
      </c>
      <c r="J41" s="763">
        <f t="shared" si="4"/>
        <v>0</v>
      </c>
      <c r="K41" s="763">
        <f t="shared" si="4"/>
        <v>144.12221438193626</v>
      </c>
      <c r="L41" s="763">
        <f t="shared" si="4"/>
        <v>0</v>
      </c>
      <c r="M41" s="763">
        <f t="shared" ca="1" si="4"/>
        <v>0</v>
      </c>
      <c r="N41" s="763">
        <f t="shared" si="4"/>
        <v>0</v>
      </c>
      <c r="O41" s="763">
        <f t="shared" ca="1" si="4"/>
        <v>0</v>
      </c>
      <c r="P41" s="763">
        <f t="shared" si="4"/>
        <v>0</v>
      </c>
      <c r="Q41" s="764">
        <f t="shared" si="4"/>
        <v>0</v>
      </c>
      <c r="R41" s="765">
        <f t="shared" ca="1" si="4"/>
        <v>78539.873684980601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559.2357260169515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559.2357260169515</v>
      </c>
    </row>
    <row r="45" spans="1:18" ht="15" thickBot="1">
      <c r="A45" s="888" t="s">
        <v>307</v>
      </c>
      <c r="B45" s="898"/>
      <c r="C45" s="727">
        <f ca="1">transport!B18</f>
        <v>4.6303853041105558</v>
      </c>
      <c r="D45" s="727">
        <f>transport!C18</f>
        <v>0</v>
      </c>
      <c r="E45" s="727">
        <f>transport!D18</f>
        <v>11.716237382175574</v>
      </c>
      <c r="F45" s="727">
        <f>transport!E18</f>
        <v>50.594284611272741</v>
      </c>
      <c r="G45" s="727">
        <f>transport!F18</f>
        <v>0</v>
      </c>
      <c r="H45" s="727">
        <f>transport!G18</f>
        <v>20881.395752157416</v>
      </c>
      <c r="I45" s="727">
        <f>transport!H18</f>
        <v>3874.908937716215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24823.24559717119</v>
      </c>
    </row>
    <row r="46" spans="1:18" ht="15.75" thickBot="1">
      <c r="A46" s="886" t="s">
        <v>230</v>
      </c>
      <c r="B46" s="899"/>
      <c r="C46" s="763">
        <f t="shared" ref="C46:R46" ca="1" si="5">SUM(C43:C45)</f>
        <v>4.6303853041105558</v>
      </c>
      <c r="D46" s="763">
        <f t="shared" ca="1" si="5"/>
        <v>0</v>
      </c>
      <c r="E46" s="763">
        <f t="shared" si="5"/>
        <v>11.716237382175574</v>
      </c>
      <c r="F46" s="763">
        <f t="shared" si="5"/>
        <v>50.594284611272741</v>
      </c>
      <c r="G46" s="763">
        <f t="shared" si="5"/>
        <v>0</v>
      </c>
      <c r="H46" s="763">
        <f t="shared" si="5"/>
        <v>21440.631478174368</v>
      </c>
      <c r="I46" s="763">
        <f t="shared" si="5"/>
        <v>3874.908937716215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25382.481323188142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93.244764183389762</v>
      </c>
      <c r="D48" s="718">
        <f ca="1">+landbouw!C12</f>
        <v>0</v>
      </c>
      <c r="E48" s="718">
        <f>+landbouw!D12</f>
        <v>9.5944982320000012</v>
      </c>
      <c r="F48" s="718">
        <f>+landbouw!E12</f>
        <v>2.9718476678909855</v>
      </c>
      <c r="G48" s="718">
        <f>+landbouw!F12</f>
        <v>495.49043735389972</v>
      </c>
      <c r="H48" s="718">
        <f>+landbouw!G12</f>
        <v>0</v>
      </c>
      <c r="I48" s="718">
        <f>+landbouw!H12</f>
        <v>0</v>
      </c>
      <c r="J48" s="718">
        <f>+landbouw!I12</f>
        <v>0</v>
      </c>
      <c r="K48" s="718">
        <f>+landbouw!J12</f>
        <v>25.874311392448217</v>
      </c>
      <c r="L48" s="718">
        <f>+landbouw!K12</f>
        <v>0</v>
      </c>
      <c r="M48" s="718">
        <f>+landbouw!L12</f>
        <v>0</v>
      </c>
      <c r="N48" s="718">
        <f>+landbouw!M12</f>
        <v>0</v>
      </c>
      <c r="O48" s="718">
        <f>+landbouw!N12</f>
        <v>0</v>
      </c>
      <c r="P48" s="718">
        <f>+landbouw!O12</f>
        <v>0</v>
      </c>
      <c r="Q48" s="719">
        <f>+landbouw!P12</f>
        <v>0</v>
      </c>
      <c r="R48" s="761">
        <f ca="1">SUM(C48:Q48)</f>
        <v>627.17585882962874</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21562.41954418732</v>
      </c>
      <c r="D53" s="773">
        <f t="shared" ref="D53:Q53" ca="1" si="6">D41+D46+D48</f>
        <v>0</v>
      </c>
      <c r="E53" s="773">
        <f t="shared" ca="1" si="6"/>
        <v>40951.706757778178</v>
      </c>
      <c r="F53" s="773">
        <f t="shared" si="6"/>
        <v>3183.2185875358259</v>
      </c>
      <c r="G53" s="773">
        <f t="shared" ca="1" si="6"/>
        <v>13366.649035832077</v>
      </c>
      <c r="H53" s="773">
        <f t="shared" si="6"/>
        <v>21440.631478174368</v>
      </c>
      <c r="I53" s="773">
        <f t="shared" si="6"/>
        <v>3874.908937716215</v>
      </c>
      <c r="J53" s="773">
        <f t="shared" si="6"/>
        <v>0</v>
      </c>
      <c r="K53" s="773">
        <f t="shared" si="6"/>
        <v>169.99652577438448</v>
      </c>
      <c r="L53" s="773">
        <f t="shared" si="6"/>
        <v>0</v>
      </c>
      <c r="M53" s="773">
        <f t="shared" ca="1" si="6"/>
        <v>0</v>
      </c>
      <c r="N53" s="773">
        <f t="shared" si="6"/>
        <v>0</v>
      </c>
      <c r="O53" s="773">
        <f t="shared" ca="1" si="6"/>
        <v>0</v>
      </c>
      <c r="P53" s="773">
        <f>P41+P46+P48</f>
        <v>0</v>
      </c>
      <c r="Q53" s="774">
        <f t="shared" si="6"/>
        <v>0</v>
      </c>
      <c r="R53" s="775">
        <f ca="1">R41+R46+R48</f>
        <v>104549.53086699836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0.18365825274250111</v>
      </c>
      <c r="D55" s="836">
        <f t="shared" ca="1" si="7"/>
        <v>0</v>
      </c>
      <c r="E55" s="836">
        <f t="shared" ca="1" si="7"/>
        <v>0.20200000000000001</v>
      </c>
      <c r="F55" s="836">
        <f t="shared" si="7"/>
        <v>0.22699999999999998</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19793.962612239971</v>
      </c>
      <c r="C66" s="795">
        <f>'lokale energieproductie'!B6</f>
        <v>19793.962612239971</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43.649999999999991</v>
      </c>
      <c r="C67" s="794">
        <f>B67*IFERROR(SUM(J67:L67)/SUM(D67:M67),0)</f>
        <v>43.649999999999991</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19837.612612239973</v>
      </c>
      <c r="C69" s="803">
        <f>SUM(C64:C68)</f>
        <v>19837.612612239973</v>
      </c>
      <c r="D69" s="804">
        <f t="shared" ref="D69:M69" si="8">SUM(D67:D68)</f>
        <v>0</v>
      </c>
      <c r="E69" s="804">
        <f t="shared" si="8"/>
        <v>0</v>
      </c>
      <c r="F69" s="804">
        <f t="shared" si="8"/>
        <v>0</v>
      </c>
      <c r="G69" s="804">
        <f t="shared" si="8"/>
        <v>0</v>
      </c>
      <c r="H69" s="804">
        <f t="shared" si="8"/>
        <v>0</v>
      </c>
      <c r="I69" s="804">
        <f t="shared" si="8"/>
        <v>0</v>
      </c>
      <c r="J69" s="804">
        <f t="shared" si="8"/>
        <v>0</v>
      </c>
      <c r="K69" s="804">
        <f t="shared" si="8"/>
        <v>51.35294117647058</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62.357142857142847</v>
      </c>
      <c r="C78" s="817">
        <f>B78*IFERROR(SUM(I78:L78)/SUM(D78:M78),0)</f>
        <v>62.357142857142847</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73.361344537815114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62.357142857142847</v>
      </c>
      <c r="C81" s="803">
        <f>SUM(C78:C80)</f>
        <v>62.357142857142847</v>
      </c>
      <c r="D81" s="803">
        <f t="shared" ref="D81:P81" si="9">SUM(D78:D80)</f>
        <v>0</v>
      </c>
      <c r="E81" s="803">
        <f t="shared" si="9"/>
        <v>0</v>
      </c>
      <c r="F81" s="803">
        <f t="shared" si="9"/>
        <v>0</v>
      </c>
      <c r="G81" s="803">
        <f t="shared" si="9"/>
        <v>0</v>
      </c>
      <c r="H81" s="803">
        <f t="shared" si="9"/>
        <v>0</v>
      </c>
      <c r="I81" s="803">
        <f t="shared" si="9"/>
        <v>0</v>
      </c>
      <c r="J81" s="803">
        <f t="shared" si="9"/>
        <v>0</v>
      </c>
      <c r="K81" s="803">
        <f t="shared" si="9"/>
        <v>73.361344537815114</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25956.110897696821</v>
      </c>
      <c r="C4" s="478">
        <f>huishoudens!C8</f>
        <v>0</v>
      </c>
      <c r="D4" s="478">
        <f>huishoudens!D8</f>
        <v>51731.126062000003</v>
      </c>
      <c r="E4" s="478">
        <f>huishoudens!E8</f>
        <v>7688.476708919402</v>
      </c>
      <c r="F4" s="478">
        <f>huishoudens!F8</f>
        <v>13117.986865098032</v>
      </c>
      <c r="G4" s="478">
        <f>huishoudens!G8</f>
        <v>0</v>
      </c>
      <c r="H4" s="478">
        <f>huishoudens!H8</f>
        <v>0</v>
      </c>
      <c r="I4" s="478">
        <f>huishoudens!I8</f>
        <v>0</v>
      </c>
      <c r="J4" s="478">
        <f>huishoudens!J8</f>
        <v>0</v>
      </c>
      <c r="K4" s="478">
        <f>huishoudens!K8</f>
        <v>0</v>
      </c>
      <c r="L4" s="478">
        <f>huishoudens!L8</f>
        <v>0</v>
      </c>
      <c r="M4" s="478">
        <f>huishoudens!M8</f>
        <v>0</v>
      </c>
      <c r="N4" s="478">
        <f>huishoudens!N8</f>
        <v>15117.079145526026</v>
      </c>
      <c r="O4" s="478">
        <f>huishoudens!O8</f>
        <v>340.80666666666667</v>
      </c>
      <c r="P4" s="479">
        <f>huishoudens!P8</f>
        <v>1563.4666666666667</v>
      </c>
      <c r="Q4" s="480">
        <f>SUM(B4:P4)</f>
        <v>115515.05301257361</v>
      </c>
    </row>
    <row r="5" spans="1:17">
      <c r="A5" s="477" t="s">
        <v>156</v>
      </c>
      <c r="B5" s="478">
        <f ca="1">tertiair!B16</f>
        <v>28119.673999999999</v>
      </c>
      <c r="C5" s="478">
        <f ca="1">tertiair!C16</f>
        <v>0</v>
      </c>
      <c r="D5" s="478">
        <f ca="1">tertiair!D16</f>
        <v>28853.01815</v>
      </c>
      <c r="E5" s="478">
        <f>tertiair!E16</f>
        <v>374.06195221887293</v>
      </c>
      <c r="F5" s="478">
        <f ca="1">tertiair!F16</f>
        <v>6686.3536102005555</v>
      </c>
      <c r="G5" s="478">
        <f>tertiair!G16</f>
        <v>0</v>
      </c>
      <c r="H5" s="478">
        <f>tertiair!H16</f>
        <v>0</v>
      </c>
      <c r="I5" s="478">
        <f>tertiair!I16</f>
        <v>0</v>
      </c>
      <c r="J5" s="478">
        <f>tertiair!J16</f>
        <v>0</v>
      </c>
      <c r="K5" s="478">
        <f>tertiair!K16</f>
        <v>0</v>
      </c>
      <c r="L5" s="478">
        <f ca="1">tertiair!L16</f>
        <v>0</v>
      </c>
      <c r="M5" s="478">
        <f>tertiair!M16</f>
        <v>0</v>
      </c>
      <c r="N5" s="478">
        <f ca="1">tertiair!N16</f>
        <v>2457.2531017143087</v>
      </c>
      <c r="O5" s="478">
        <f>tertiair!O16</f>
        <v>0</v>
      </c>
      <c r="P5" s="479">
        <f>tertiair!P16</f>
        <v>38.133333333333333</v>
      </c>
      <c r="Q5" s="477">
        <f t="shared" ref="Q5:Q13" ca="1" si="0">SUM(B5:P5)</f>
        <v>66528.494147467063</v>
      </c>
    </row>
    <row r="6" spans="1:17">
      <c r="A6" s="477" t="s">
        <v>194</v>
      </c>
      <c r="B6" s="478">
        <f>'openbare verlichting'!B8</f>
        <v>1012.429</v>
      </c>
      <c r="C6" s="478"/>
      <c r="D6" s="478"/>
      <c r="E6" s="478"/>
      <c r="F6" s="478"/>
      <c r="G6" s="478"/>
      <c r="H6" s="478"/>
      <c r="I6" s="478"/>
      <c r="J6" s="478"/>
      <c r="K6" s="478"/>
      <c r="L6" s="478"/>
      <c r="M6" s="478"/>
      <c r="N6" s="478"/>
      <c r="O6" s="478"/>
      <c r="P6" s="479"/>
      <c r="Q6" s="477">
        <f t="shared" si="0"/>
        <v>1012.429</v>
      </c>
    </row>
    <row r="7" spans="1:17">
      <c r="A7" s="477" t="s">
        <v>112</v>
      </c>
      <c r="B7" s="478">
        <f>landbouw!B8</f>
        <v>507.70800000000003</v>
      </c>
      <c r="C7" s="478">
        <f>landbouw!C8</f>
        <v>62.357142857142847</v>
      </c>
      <c r="D7" s="478">
        <f>landbouw!D8</f>
        <v>47.497516000000005</v>
      </c>
      <c r="E7" s="478">
        <f>landbouw!E8</f>
        <v>13.091839946656323</v>
      </c>
      <c r="F7" s="478">
        <f>landbouw!F8</f>
        <v>1855.7694282917591</v>
      </c>
      <c r="G7" s="478">
        <f>landbouw!G8</f>
        <v>0</v>
      </c>
      <c r="H7" s="478">
        <f>landbouw!H8</f>
        <v>0</v>
      </c>
      <c r="I7" s="478">
        <f>landbouw!I8</f>
        <v>0</v>
      </c>
      <c r="J7" s="478">
        <f>landbouw!J8</f>
        <v>73.091275119910222</v>
      </c>
      <c r="K7" s="478">
        <f>landbouw!K8</f>
        <v>0</v>
      </c>
      <c r="L7" s="478">
        <f>landbouw!L8</f>
        <v>0</v>
      </c>
      <c r="M7" s="478">
        <f>landbouw!M8</f>
        <v>0</v>
      </c>
      <c r="N7" s="478">
        <f>landbouw!N8</f>
        <v>0</v>
      </c>
      <c r="O7" s="478">
        <f>landbouw!O8</f>
        <v>0</v>
      </c>
      <c r="P7" s="479">
        <f>landbouw!P8</f>
        <v>0</v>
      </c>
      <c r="Q7" s="477">
        <f t="shared" si="0"/>
        <v>2559.5152022154689</v>
      </c>
    </row>
    <row r="8" spans="1:17">
      <c r="A8" s="477" t="s">
        <v>638</v>
      </c>
      <c r="B8" s="478">
        <f>industrie!B18</f>
        <v>61783.987999999998</v>
      </c>
      <c r="C8" s="478">
        <f>industrie!C18</f>
        <v>0</v>
      </c>
      <c r="D8" s="478">
        <f>industrie!D18</f>
        <v>122041.57866999999</v>
      </c>
      <c r="E8" s="478">
        <f>industrie!E18</f>
        <v>5724.4765602567149</v>
      </c>
      <c r="F8" s="478">
        <f>industrie!F18</f>
        <v>28402.246035855631</v>
      </c>
      <c r="G8" s="478">
        <f>industrie!G18</f>
        <v>0</v>
      </c>
      <c r="H8" s="478">
        <f>industrie!H18</f>
        <v>0</v>
      </c>
      <c r="I8" s="478">
        <f>industrie!I18</f>
        <v>0</v>
      </c>
      <c r="J8" s="478">
        <f>industrie!J18</f>
        <v>407.12489938400074</v>
      </c>
      <c r="K8" s="478">
        <f>industrie!K18</f>
        <v>0</v>
      </c>
      <c r="L8" s="478">
        <f>industrie!L18</f>
        <v>0</v>
      </c>
      <c r="M8" s="478">
        <f>industrie!M18</f>
        <v>0</v>
      </c>
      <c r="N8" s="478">
        <f>industrie!N18</f>
        <v>18039.768869877778</v>
      </c>
      <c r="O8" s="478">
        <f>industrie!O18</f>
        <v>0</v>
      </c>
      <c r="P8" s="479">
        <f>industrie!P18</f>
        <v>0</v>
      </c>
      <c r="Q8" s="477">
        <f t="shared" si="0"/>
        <v>236399.1830353741</v>
      </c>
    </row>
    <row r="9" spans="1:17" s="483" customFormat="1">
      <c r="A9" s="481" t="s">
        <v>564</v>
      </c>
      <c r="B9" s="482">
        <f>transport!B14</f>
        <v>25.21196425952396</v>
      </c>
      <c r="C9" s="482">
        <f>transport!C14</f>
        <v>0</v>
      </c>
      <c r="D9" s="482">
        <f>transport!D14</f>
        <v>58.001175159285019</v>
      </c>
      <c r="E9" s="482">
        <f>transport!E14</f>
        <v>222.88231106287552</v>
      </c>
      <c r="F9" s="482">
        <f>transport!F14</f>
        <v>0</v>
      </c>
      <c r="G9" s="482">
        <f>transport!G14</f>
        <v>78207.474727181325</v>
      </c>
      <c r="H9" s="482">
        <f>transport!H14</f>
        <v>15561.883284000864</v>
      </c>
      <c r="I9" s="482">
        <f>transport!I14</f>
        <v>0</v>
      </c>
      <c r="J9" s="482">
        <f>transport!J14</f>
        <v>0</v>
      </c>
      <c r="K9" s="482">
        <f>transport!K14</f>
        <v>0</v>
      </c>
      <c r="L9" s="482">
        <f>transport!L14</f>
        <v>0</v>
      </c>
      <c r="M9" s="482">
        <f>transport!M14</f>
        <v>2930.1911838489982</v>
      </c>
      <c r="N9" s="482">
        <f>transport!N14</f>
        <v>0</v>
      </c>
      <c r="O9" s="482">
        <f>transport!O14</f>
        <v>0</v>
      </c>
      <c r="P9" s="482">
        <f>transport!P14</f>
        <v>0</v>
      </c>
      <c r="Q9" s="481">
        <f>SUM(B9:P9)</f>
        <v>97005.64464551289</v>
      </c>
    </row>
    <row r="10" spans="1:17">
      <c r="A10" s="477" t="s">
        <v>554</v>
      </c>
      <c r="B10" s="478">
        <f>transport!B54</f>
        <v>0</v>
      </c>
      <c r="C10" s="478">
        <f>transport!C54</f>
        <v>0</v>
      </c>
      <c r="D10" s="478">
        <f>transport!D54</f>
        <v>0</v>
      </c>
      <c r="E10" s="478">
        <f>transport!E54</f>
        <v>0</v>
      </c>
      <c r="F10" s="478">
        <f>transport!F54</f>
        <v>0</v>
      </c>
      <c r="G10" s="478">
        <f>transport!G54</f>
        <v>2094.5158277788446</v>
      </c>
      <c r="H10" s="478">
        <f>transport!H54</f>
        <v>0</v>
      </c>
      <c r="I10" s="478">
        <f>transport!I54</f>
        <v>0</v>
      </c>
      <c r="J10" s="478">
        <f>transport!J54</f>
        <v>0</v>
      </c>
      <c r="K10" s="478">
        <f>transport!K54</f>
        <v>0</v>
      </c>
      <c r="L10" s="478">
        <f>transport!L54</f>
        <v>0</v>
      </c>
      <c r="M10" s="478">
        <f>transport!M54</f>
        <v>64.967195164406547</v>
      </c>
      <c r="N10" s="478">
        <f>transport!N54</f>
        <v>0</v>
      </c>
      <c r="O10" s="478">
        <f>transport!O54</f>
        <v>0</v>
      </c>
      <c r="P10" s="479">
        <f>transport!P54</f>
        <v>0</v>
      </c>
      <c r="Q10" s="477">
        <f t="shared" si="0"/>
        <v>2159.4830229432509</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117405.12186195633</v>
      </c>
      <c r="C14" s="488">
        <f t="shared" ref="C14:Q14" ca="1" si="1">SUM(C4:C13)</f>
        <v>62.357142857142847</v>
      </c>
      <c r="D14" s="488">
        <f t="shared" ca="1" si="1"/>
        <v>202731.22157315927</v>
      </c>
      <c r="E14" s="488">
        <f t="shared" si="1"/>
        <v>14022.989372404521</v>
      </c>
      <c r="F14" s="488">
        <f t="shared" ca="1" si="1"/>
        <v>50062.355939445973</v>
      </c>
      <c r="G14" s="488">
        <f t="shared" si="1"/>
        <v>80301.990554960168</v>
      </c>
      <c r="H14" s="488">
        <f t="shared" si="1"/>
        <v>15561.883284000864</v>
      </c>
      <c r="I14" s="488">
        <f t="shared" si="1"/>
        <v>0</v>
      </c>
      <c r="J14" s="488">
        <f t="shared" si="1"/>
        <v>480.21617450391096</v>
      </c>
      <c r="K14" s="488">
        <f t="shared" si="1"/>
        <v>0</v>
      </c>
      <c r="L14" s="488">
        <f t="shared" ca="1" si="1"/>
        <v>0</v>
      </c>
      <c r="M14" s="488">
        <f t="shared" si="1"/>
        <v>2995.1583790134046</v>
      </c>
      <c r="N14" s="488">
        <f t="shared" ca="1" si="1"/>
        <v>35614.101117118116</v>
      </c>
      <c r="O14" s="488">
        <f t="shared" si="1"/>
        <v>340.80666666666667</v>
      </c>
      <c r="P14" s="489">
        <f t="shared" si="1"/>
        <v>1601.6000000000001</v>
      </c>
      <c r="Q14" s="489">
        <f t="shared" ca="1" si="1"/>
        <v>521179.80206608644</v>
      </c>
    </row>
    <row r="16" spans="1:17">
      <c r="A16" s="491" t="s">
        <v>559</v>
      </c>
      <c r="B16" s="841">
        <f ca="1">huishoudens!B10</f>
        <v>0.18365825274250111</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4767.0539754615902</v>
      </c>
      <c r="C21" s="478">
        <f t="shared" ref="C21:C30" ca="1" si="3">C4*$C$16</f>
        <v>0</v>
      </c>
      <c r="D21" s="478">
        <f t="shared" ref="D21:D30" si="4">D4*$D$16</f>
        <v>10449.687464524</v>
      </c>
      <c r="E21" s="478">
        <f t="shared" ref="E21:E30" si="5">E4*$E$16</f>
        <v>1745.2842129247042</v>
      </c>
      <c r="F21" s="478">
        <f t="shared" ref="F21:F30" si="6">F4*$F$16</f>
        <v>3502.5024929811748</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20464.528145891469</v>
      </c>
    </row>
    <row r="22" spans="1:17">
      <c r="A22" s="477" t="s">
        <v>156</v>
      </c>
      <c r="B22" s="478">
        <f t="shared" ca="1" si="2"/>
        <v>5164.4101945287366</v>
      </c>
      <c r="C22" s="478">
        <f t="shared" ca="1" si="3"/>
        <v>0</v>
      </c>
      <c r="D22" s="478">
        <f t="shared" ca="1" si="4"/>
        <v>5828.3096663000006</v>
      </c>
      <c r="E22" s="478">
        <f t="shared" si="5"/>
        <v>84.912063153684159</v>
      </c>
      <c r="F22" s="478">
        <f t="shared" ca="1" si="6"/>
        <v>1785.2564139235485</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12862.88833790597</v>
      </c>
    </row>
    <row r="23" spans="1:17">
      <c r="A23" s="477" t="s">
        <v>194</v>
      </c>
      <c r="B23" s="478">
        <f t="shared" ca="1" si="2"/>
        <v>185.94094116583764</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185.94094116583764</v>
      </c>
    </row>
    <row r="24" spans="1:17">
      <c r="A24" s="477" t="s">
        <v>112</v>
      </c>
      <c r="B24" s="478">
        <f t="shared" ca="1" si="2"/>
        <v>93.244764183389762</v>
      </c>
      <c r="C24" s="478">
        <f t="shared" ca="1" si="3"/>
        <v>0</v>
      </c>
      <c r="D24" s="478">
        <f t="shared" si="4"/>
        <v>9.5944982320000012</v>
      </c>
      <c r="E24" s="478">
        <f t="shared" si="5"/>
        <v>2.9718476678909855</v>
      </c>
      <c r="F24" s="478">
        <f t="shared" si="6"/>
        <v>495.49043735389972</v>
      </c>
      <c r="G24" s="478">
        <f t="shared" si="7"/>
        <v>0</v>
      </c>
      <c r="H24" s="478">
        <f t="shared" si="8"/>
        <v>0</v>
      </c>
      <c r="I24" s="478">
        <f t="shared" si="9"/>
        <v>0</v>
      </c>
      <c r="J24" s="478">
        <f t="shared" si="10"/>
        <v>25.874311392448217</v>
      </c>
      <c r="K24" s="478">
        <f t="shared" si="11"/>
        <v>0</v>
      </c>
      <c r="L24" s="478">
        <f t="shared" si="12"/>
        <v>0</v>
      </c>
      <c r="M24" s="478">
        <f t="shared" si="13"/>
        <v>0</v>
      </c>
      <c r="N24" s="478">
        <f t="shared" si="14"/>
        <v>0</v>
      </c>
      <c r="O24" s="478">
        <f t="shared" si="15"/>
        <v>0</v>
      </c>
      <c r="P24" s="479">
        <f t="shared" si="16"/>
        <v>0</v>
      </c>
      <c r="Q24" s="477">
        <f t="shared" ca="1" si="17"/>
        <v>627.17585882962874</v>
      </c>
    </row>
    <row r="25" spans="1:17">
      <c r="A25" s="477" t="s">
        <v>638</v>
      </c>
      <c r="B25" s="478">
        <f t="shared" ca="1" si="2"/>
        <v>11347.139283543655</v>
      </c>
      <c r="C25" s="478">
        <f t="shared" ca="1" si="3"/>
        <v>0</v>
      </c>
      <c r="D25" s="478">
        <f t="shared" si="4"/>
        <v>24652.398891339999</v>
      </c>
      <c r="E25" s="478">
        <f t="shared" si="5"/>
        <v>1299.4561791782744</v>
      </c>
      <c r="F25" s="478">
        <f t="shared" si="6"/>
        <v>7583.3996915734542</v>
      </c>
      <c r="G25" s="478">
        <f t="shared" si="7"/>
        <v>0</v>
      </c>
      <c r="H25" s="478">
        <f t="shared" si="8"/>
        <v>0</v>
      </c>
      <c r="I25" s="478">
        <f t="shared" si="9"/>
        <v>0</v>
      </c>
      <c r="J25" s="478">
        <f t="shared" si="10"/>
        <v>144.12221438193626</v>
      </c>
      <c r="K25" s="478">
        <f t="shared" si="11"/>
        <v>0</v>
      </c>
      <c r="L25" s="478">
        <f t="shared" si="12"/>
        <v>0</v>
      </c>
      <c r="M25" s="478">
        <f t="shared" si="13"/>
        <v>0</v>
      </c>
      <c r="N25" s="478">
        <f t="shared" si="14"/>
        <v>0</v>
      </c>
      <c r="O25" s="478">
        <f t="shared" si="15"/>
        <v>0</v>
      </c>
      <c r="P25" s="479">
        <f t="shared" si="16"/>
        <v>0</v>
      </c>
      <c r="Q25" s="477">
        <f t="shared" ca="1" si="17"/>
        <v>45026.516260017321</v>
      </c>
    </row>
    <row r="26" spans="1:17" s="483" customFormat="1">
      <c r="A26" s="481" t="s">
        <v>564</v>
      </c>
      <c r="B26" s="835">
        <f t="shared" ca="1" si="2"/>
        <v>4.6303853041105558</v>
      </c>
      <c r="C26" s="482">
        <f t="shared" ca="1" si="3"/>
        <v>0</v>
      </c>
      <c r="D26" s="482">
        <f t="shared" si="4"/>
        <v>11.716237382175574</v>
      </c>
      <c r="E26" s="482">
        <f t="shared" si="5"/>
        <v>50.594284611272741</v>
      </c>
      <c r="F26" s="482">
        <f t="shared" si="6"/>
        <v>0</v>
      </c>
      <c r="G26" s="482">
        <f t="shared" si="7"/>
        <v>20881.395752157416</v>
      </c>
      <c r="H26" s="482">
        <f t="shared" si="8"/>
        <v>3874.908937716215</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24823.24559717119</v>
      </c>
    </row>
    <row r="27" spans="1:17">
      <c r="A27" s="477" t="s">
        <v>554</v>
      </c>
      <c r="B27" s="478">
        <f t="shared" ca="1" si="2"/>
        <v>0</v>
      </c>
      <c r="C27" s="478">
        <f t="shared" ca="1" si="3"/>
        <v>0</v>
      </c>
      <c r="D27" s="478">
        <f t="shared" si="4"/>
        <v>0</v>
      </c>
      <c r="E27" s="478">
        <f t="shared" si="5"/>
        <v>0</v>
      </c>
      <c r="F27" s="478">
        <f t="shared" si="6"/>
        <v>0</v>
      </c>
      <c r="G27" s="478">
        <f t="shared" si="7"/>
        <v>559.2357260169515</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559.2357260169515</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21562.419544187316</v>
      </c>
      <c r="C31" s="488">
        <f t="shared" ca="1" si="18"/>
        <v>0</v>
      </c>
      <c r="D31" s="488">
        <f t="shared" ca="1" si="18"/>
        <v>40951.706757778178</v>
      </c>
      <c r="E31" s="488">
        <f t="shared" si="18"/>
        <v>3183.2185875358264</v>
      </c>
      <c r="F31" s="488">
        <f t="shared" ca="1" si="18"/>
        <v>13366.649035832077</v>
      </c>
      <c r="G31" s="488">
        <f t="shared" si="18"/>
        <v>21440.631478174368</v>
      </c>
      <c r="H31" s="488">
        <f t="shared" si="18"/>
        <v>3874.908937716215</v>
      </c>
      <c r="I31" s="488">
        <f t="shared" si="18"/>
        <v>0</v>
      </c>
      <c r="J31" s="488">
        <f t="shared" si="18"/>
        <v>169.99652577438448</v>
      </c>
      <c r="K31" s="488">
        <f t="shared" si="18"/>
        <v>0</v>
      </c>
      <c r="L31" s="488">
        <f t="shared" ca="1" si="18"/>
        <v>0</v>
      </c>
      <c r="M31" s="488">
        <f t="shared" si="18"/>
        <v>0</v>
      </c>
      <c r="N31" s="488">
        <f t="shared" ca="1" si="18"/>
        <v>0</v>
      </c>
      <c r="O31" s="488">
        <f t="shared" si="18"/>
        <v>0</v>
      </c>
      <c r="P31" s="489">
        <f t="shared" si="18"/>
        <v>0</v>
      </c>
      <c r="Q31" s="489">
        <f t="shared" ca="1" si="18"/>
        <v>104549.53086699836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0.18365825274250111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0.18365825274250111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0.18365825274250111</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72029</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6095</v>
      </c>
      <c r="C9" s="342">
        <v>6109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1153.3900000000001</v>
      </c>
    </row>
    <row r="15" spans="1:6">
      <c r="A15" s="348" t="s">
        <v>184</v>
      </c>
      <c r="B15" s="334">
        <v>1715</v>
      </c>
    </row>
    <row r="16" spans="1:6">
      <c r="A16" s="348" t="s">
        <v>6</v>
      </c>
      <c r="B16" s="334">
        <v>1075</v>
      </c>
    </row>
    <row r="17" spans="1:6">
      <c r="A17" s="348" t="s">
        <v>7</v>
      </c>
      <c r="B17" s="334">
        <v>25</v>
      </c>
    </row>
    <row r="18" spans="1:6">
      <c r="A18" s="348" t="s">
        <v>8</v>
      </c>
      <c r="B18" s="334">
        <v>591</v>
      </c>
    </row>
    <row r="19" spans="1:6">
      <c r="A19" s="348" t="s">
        <v>9</v>
      </c>
      <c r="B19" s="334">
        <v>593</v>
      </c>
    </row>
    <row r="20" spans="1:6">
      <c r="A20" s="348" t="s">
        <v>10</v>
      </c>
      <c r="B20" s="334">
        <v>143</v>
      </c>
    </row>
    <row r="21" spans="1:6">
      <c r="A21" s="348" t="s">
        <v>11</v>
      </c>
      <c r="B21" s="334">
        <v>0</v>
      </c>
    </row>
    <row r="22" spans="1:6">
      <c r="A22" s="348" t="s">
        <v>12</v>
      </c>
      <c r="B22" s="334">
        <v>135</v>
      </c>
    </row>
    <row r="23" spans="1:6">
      <c r="A23" s="348" t="s">
        <v>13</v>
      </c>
      <c r="B23" s="334">
        <v>0</v>
      </c>
    </row>
    <row r="24" spans="1:6">
      <c r="A24" s="348" t="s">
        <v>14</v>
      </c>
      <c r="B24" s="334">
        <v>0</v>
      </c>
    </row>
    <row r="25" spans="1:6">
      <c r="A25" s="348" t="s">
        <v>15</v>
      </c>
      <c r="B25" s="334">
        <v>0</v>
      </c>
    </row>
    <row r="26" spans="1:6">
      <c r="A26" s="348" t="s">
        <v>16</v>
      </c>
      <c r="B26" s="334">
        <v>92</v>
      </c>
    </row>
    <row r="27" spans="1:6">
      <c r="A27" s="348" t="s">
        <v>17</v>
      </c>
      <c r="B27" s="334">
        <v>0</v>
      </c>
    </row>
    <row r="28" spans="1:6" s="356" customFormat="1">
      <c r="A28" s="355" t="s">
        <v>18</v>
      </c>
      <c r="B28" s="355">
        <v>16632</v>
      </c>
    </row>
    <row r="29" spans="1:6">
      <c r="A29" s="355" t="s">
        <v>812</v>
      </c>
      <c r="B29" s="355">
        <v>108</v>
      </c>
      <c r="C29" s="356"/>
      <c r="D29" s="356"/>
      <c r="E29" s="356"/>
      <c r="F29" s="356"/>
    </row>
    <row r="30" spans="1:6">
      <c r="A30" s="355" t="s">
        <v>813</v>
      </c>
      <c r="B30" s="341">
        <v>15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16608</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3988</v>
      </c>
      <c r="D39" s="334">
        <v>57351581</v>
      </c>
      <c r="E39" s="334">
        <v>6242</v>
      </c>
      <c r="F39" s="334">
        <v>21229374</v>
      </c>
    </row>
    <row r="40" spans="1:6">
      <c r="A40" s="348" t="s">
        <v>30</v>
      </c>
      <c r="B40" s="348" t="s">
        <v>29</v>
      </c>
      <c r="C40" s="334">
        <v>0</v>
      </c>
      <c r="D40" s="334">
        <v>0</v>
      </c>
      <c r="E40" s="334">
        <v>0</v>
      </c>
      <c r="F40" s="334">
        <v>0</v>
      </c>
    </row>
    <row r="41" spans="1:6">
      <c r="A41" s="348" t="s">
        <v>32</v>
      </c>
      <c r="B41" s="348" t="s">
        <v>33</v>
      </c>
      <c r="C41" s="334">
        <v>76</v>
      </c>
      <c r="D41" s="334">
        <v>10688936</v>
      </c>
      <c r="E41" s="334">
        <v>148</v>
      </c>
      <c r="F41" s="334">
        <v>17479760</v>
      </c>
    </row>
    <row r="42" spans="1:6">
      <c r="A42" s="348" t="s">
        <v>32</v>
      </c>
      <c r="B42" s="348" t="s">
        <v>34</v>
      </c>
      <c r="C42" s="334">
        <v>0</v>
      </c>
      <c r="D42" s="334">
        <v>0</v>
      </c>
      <c r="E42" s="334">
        <v>5</v>
      </c>
      <c r="F42" s="334">
        <v>5178152</v>
      </c>
    </row>
    <row r="43" spans="1:6">
      <c r="A43" s="348" t="s">
        <v>32</v>
      </c>
      <c r="B43" s="348" t="s">
        <v>35</v>
      </c>
      <c r="C43" s="334">
        <v>0</v>
      </c>
      <c r="D43" s="334">
        <v>0</v>
      </c>
      <c r="E43" s="334">
        <v>0</v>
      </c>
      <c r="F43" s="334">
        <v>0</v>
      </c>
    </row>
    <row r="44" spans="1:6">
      <c r="A44" s="348" t="s">
        <v>32</v>
      </c>
      <c r="B44" s="348" t="s">
        <v>36</v>
      </c>
      <c r="C44" s="334">
        <v>35</v>
      </c>
      <c r="D44" s="334">
        <v>54740321</v>
      </c>
      <c r="E44" s="334">
        <v>52</v>
      </c>
      <c r="F44" s="334">
        <v>27917240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2338216</v>
      </c>
      <c r="E47" s="334">
        <v>6</v>
      </c>
      <c r="F47" s="334">
        <v>5603365</v>
      </c>
    </row>
    <row r="48" spans="1:6">
      <c r="A48" s="348" t="s">
        <v>32</v>
      </c>
      <c r="B48" s="348" t="s">
        <v>29</v>
      </c>
      <c r="C48" s="334">
        <v>5</v>
      </c>
      <c r="D48" s="334">
        <v>63275209</v>
      </c>
      <c r="E48" s="334">
        <v>3</v>
      </c>
      <c r="F48" s="334">
        <v>3948426</v>
      </c>
    </row>
    <row r="49" spans="1:6">
      <c r="A49" s="348" t="s">
        <v>32</v>
      </c>
      <c r="B49" s="348" t="s">
        <v>40</v>
      </c>
      <c r="C49" s="334">
        <v>3</v>
      </c>
      <c r="D49" s="334">
        <v>3773762</v>
      </c>
      <c r="E49" s="334">
        <v>4</v>
      </c>
      <c r="F49" s="334">
        <v>1471651</v>
      </c>
    </row>
    <row r="50" spans="1:6">
      <c r="A50" s="348" t="s">
        <v>32</v>
      </c>
      <c r="B50" s="348" t="s">
        <v>41</v>
      </c>
      <c r="C50" s="334">
        <v>8</v>
      </c>
      <c r="D50" s="334">
        <v>484641</v>
      </c>
      <c r="E50" s="334">
        <v>12</v>
      </c>
      <c r="F50" s="334">
        <v>185394</v>
      </c>
    </row>
    <row r="51" spans="1:6">
      <c r="A51" s="348" t="s">
        <v>42</v>
      </c>
      <c r="B51" s="348" t="s">
        <v>43</v>
      </c>
      <c r="C51" s="334">
        <v>6</v>
      </c>
      <c r="D51" s="334">
        <v>52658</v>
      </c>
      <c r="E51" s="334">
        <v>25</v>
      </c>
      <c r="F51" s="334">
        <v>507708</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73</v>
      </c>
      <c r="F54" s="334">
        <v>1012429</v>
      </c>
    </row>
    <row r="55" spans="1:6">
      <c r="A55" s="348" t="s">
        <v>46</v>
      </c>
      <c r="B55" s="348" t="s">
        <v>29</v>
      </c>
      <c r="C55" s="334">
        <v>0</v>
      </c>
      <c r="D55" s="334">
        <v>0</v>
      </c>
      <c r="E55" s="334">
        <v>0</v>
      </c>
      <c r="F55" s="334">
        <v>0</v>
      </c>
    </row>
    <row r="56" spans="1:6">
      <c r="A56" s="348" t="s">
        <v>48</v>
      </c>
      <c r="B56" s="348" t="s">
        <v>29</v>
      </c>
      <c r="C56" s="334">
        <v>38</v>
      </c>
      <c r="D56" s="334">
        <v>417886</v>
      </c>
      <c r="E56" s="334">
        <v>91</v>
      </c>
      <c r="F56" s="334">
        <v>273837</v>
      </c>
    </row>
    <row r="57" spans="1:6">
      <c r="A57" s="348" t="s">
        <v>49</v>
      </c>
      <c r="B57" s="348" t="s">
        <v>50</v>
      </c>
      <c r="C57" s="334">
        <v>34</v>
      </c>
      <c r="D57" s="334">
        <v>2539686</v>
      </c>
      <c r="E57" s="334">
        <v>67</v>
      </c>
      <c r="F57" s="334">
        <v>2968759</v>
      </c>
    </row>
    <row r="58" spans="1:6">
      <c r="A58" s="348" t="s">
        <v>49</v>
      </c>
      <c r="B58" s="348" t="s">
        <v>51</v>
      </c>
      <c r="C58" s="334">
        <v>32</v>
      </c>
      <c r="D58" s="334">
        <v>10180287</v>
      </c>
      <c r="E58" s="334">
        <v>45</v>
      </c>
      <c r="F58" s="334">
        <v>8481444</v>
      </c>
    </row>
    <row r="59" spans="1:6">
      <c r="A59" s="348" t="s">
        <v>49</v>
      </c>
      <c r="B59" s="348" t="s">
        <v>52</v>
      </c>
      <c r="C59" s="334">
        <v>102</v>
      </c>
      <c r="D59" s="334">
        <v>6105187</v>
      </c>
      <c r="E59" s="334">
        <v>187</v>
      </c>
      <c r="F59" s="334">
        <v>7422635</v>
      </c>
    </row>
    <row r="60" spans="1:6">
      <c r="A60" s="348" t="s">
        <v>49</v>
      </c>
      <c r="B60" s="348" t="s">
        <v>53</v>
      </c>
      <c r="C60" s="334">
        <v>35</v>
      </c>
      <c r="D60" s="334">
        <v>1658785</v>
      </c>
      <c r="E60" s="334">
        <v>54</v>
      </c>
      <c r="F60" s="334">
        <v>1279704</v>
      </c>
    </row>
    <row r="61" spans="1:6">
      <c r="A61" s="348" t="s">
        <v>49</v>
      </c>
      <c r="B61" s="348" t="s">
        <v>54</v>
      </c>
      <c r="C61" s="334">
        <v>113</v>
      </c>
      <c r="D61" s="334">
        <v>7502712</v>
      </c>
      <c r="E61" s="334">
        <v>258</v>
      </c>
      <c r="F61" s="334">
        <v>6872007</v>
      </c>
    </row>
    <row r="62" spans="1:6">
      <c r="A62" s="348" t="s">
        <v>49</v>
      </c>
      <c r="B62" s="348" t="s">
        <v>55</v>
      </c>
      <c r="C62" s="334">
        <v>20</v>
      </c>
      <c r="D62" s="334">
        <v>4001168</v>
      </c>
      <c r="E62" s="334">
        <v>23</v>
      </c>
      <c r="F62" s="334">
        <v>1095125</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147882</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7</v>
      </c>
      <c r="F68" s="334">
        <v>528025</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85560562</v>
      </c>
      <c r="E73" s="476">
        <v>87154434.00608319</v>
      </c>
    </row>
    <row r="74" spans="1:6">
      <c r="A74" s="348" t="s">
        <v>64</v>
      </c>
      <c r="B74" s="348" t="s">
        <v>667</v>
      </c>
      <c r="C74" s="1212" t="s">
        <v>669</v>
      </c>
      <c r="D74" s="476">
        <v>8705949.1502296831</v>
      </c>
      <c r="E74" s="476">
        <v>8807798.4291414563</v>
      </c>
    </row>
    <row r="75" spans="1:6">
      <c r="A75" s="348" t="s">
        <v>65</v>
      </c>
      <c r="B75" s="348" t="s">
        <v>666</v>
      </c>
      <c r="C75" s="1212" t="s">
        <v>670</v>
      </c>
      <c r="D75" s="476">
        <v>22028736</v>
      </c>
      <c r="E75" s="476">
        <v>22505694.08864674</v>
      </c>
    </row>
    <row r="76" spans="1:6">
      <c r="A76" s="348" t="s">
        <v>65</v>
      </c>
      <c r="B76" s="348" t="s">
        <v>667</v>
      </c>
      <c r="C76" s="1212" t="s">
        <v>671</v>
      </c>
      <c r="D76" s="476">
        <v>906906.15022968233</v>
      </c>
      <c r="E76" s="476">
        <v>909198.24303393962</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580007.69954063534</v>
      </c>
      <c r="C83" s="476">
        <v>580007.69954063534</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4726.7368976968201</v>
      </c>
    </row>
    <row r="92" spans="1:6">
      <c r="A92" s="341" t="s">
        <v>69</v>
      </c>
      <c r="B92" s="342">
        <v>15067.225714543152</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1399</v>
      </c>
    </row>
    <row r="98" spans="1:6">
      <c r="A98" s="348" t="s">
        <v>72</v>
      </c>
      <c r="B98" s="334">
        <v>3</v>
      </c>
    </row>
    <row r="99" spans="1:6">
      <c r="A99" s="348" t="s">
        <v>73</v>
      </c>
      <c r="B99" s="334">
        <v>78</v>
      </c>
    </row>
    <row r="100" spans="1:6">
      <c r="A100" s="348" t="s">
        <v>74</v>
      </c>
      <c r="B100" s="334">
        <v>209</v>
      </c>
    </row>
    <row r="101" spans="1:6">
      <c r="A101" s="348" t="s">
        <v>75</v>
      </c>
      <c r="B101" s="334">
        <v>54</v>
      </c>
    </row>
    <row r="102" spans="1:6">
      <c r="A102" s="348" t="s">
        <v>76</v>
      </c>
      <c r="B102" s="334">
        <v>43</v>
      </c>
    </row>
    <row r="103" spans="1:6">
      <c r="A103" s="348" t="s">
        <v>77</v>
      </c>
      <c r="B103" s="334">
        <v>68</v>
      </c>
    </row>
    <row r="104" spans="1:6">
      <c r="A104" s="348" t="s">
        <v>78</v>
      </c>
      <c r="B104" s="334">
        <v>2869</v>
      </c>
    </row>
    <row r="105" spans="1:6">
      <c r="A105" s="341" t="s">
        <v>79</v>
      </c>
      <c r="B105" s="341">
        <v>2</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61</v>
      </c>
      <c r="C123" s="334">
        <v>51</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166</v>
      </c>
    </row>
    <row r="130" spans="1:6">
      <c r="A130" s="348" t="s">
        <v>295</v>
      </c>
      <c r="B130" s="334">
        <v>0</v>
      </c>
    </row>
    <row r="131" spans="1:6">
      <c r="A131" s="348" t="s">
        <v>296</v>
      </c>
      <c r="B131" s="334">
        <v>2</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117405.12186195634</v>
      </c>
      <c r="C3" s="43" t="s">
        <v>170</v>
      </c>
      <c r="D3" s="43"/>
      <c r="E3" s="154"/>
      <c r="F3" s="43"/>
      <c r="G3" s="43"/>
      <c r="H3" s="43"/>
      <c r="I3" s="43"/>
      <c r="J3" s="43"/>
      <c r="K3" s="96"/>
    </row>
    <row r="4" spans="1:11">
      <c r="A4" s="383" t="s">
        <v>171</v>
      </c>
      <c r="B4" s="49">
        <f>IF(ISERROR('SEAP template'!B69),0,'SEAP template'!B69)</f>
        <v>19837.612612239973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0.18365825274250111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1012.429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1012.429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0.18365825274250111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185.94094116583764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21229.374</v>
      </c>
      <c r="C5" s="17">
        <f>IF(ISERROR('Eigen informatie GS &amp; warmtenet'!B57),0,'Eigen informatie GS &amp; warmtenet'!B57)</f>
        <v>0</v>
      </c>
      <c r="D5" s="30">
        <f>(SUM(HH_hh_gas_kWh,HH_rest_gas_kWh)/1000)*0.902</f>
        <v>51731.126062000003</v>
      </c>
      <c r="E5" s="17">
        <f>B46*B57</f>
        <v>7688.476708919402</v>
      </c>
      <c r="F5" s="17">
        <f>B51*B62</f>
        <v>13117.986865098032</v>
      </c>
      <c r="G5" s="18"/>
      <c r="H5" s="17"/>
      <c r="I5" s="17"/>
      <c r="J5" s="17">
        <f>B50*B61+C50*C61</f>
        <v>0</v>
      </c>
      <c r="K5" s="17"/>
      <c r="L5" s="17"/>
      <c r="M5" s="17"/>
      <c r="N5" s="17">
        <f>B48*B59+C48*C59</f>
        <v>15117.079145526026</v>
      </c>
      <c r="O5" s="17">
        <f>B69*B70*B71</f>
        <v>340.80666666666667</v>
      </c>
      <c r="P5" s="17">
        <f>B77*B78*B79/1000-B77*B78*B79/1000/B80</f>
        <v>1563.4666666666667</v>
      </c>
    </row>
    <row r="6" spans="1:16">
      <c r="A6" s="16" t="s">
        <v>624</v>
      </c>
      <c r="B6" s="843">
        <f>kWh_PV_kleiner_dan_10kW</f>
        <v>4726.7368976968201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25956.110897696821</v>
      </c>
      <c r="C8" s="21">
        <f>C5</f>
        <v>0</v>
      </c>
      <c r="D8" s="21">
        <f>D5</f>
        <v>51731.126062000003</v>
      </c>
      <c r="E8" s="21">
        <f>E5</f>
        <v>7688.476708919402</v>
      </c>
      <c r="F8" s="21">
        <f>F5</f>
        <v>13117.986865098032</v>
      </c>
      <c r="G8" s="21"/>
      <c r="H8" s="21"/>
      <c r="I8" s="21"/>
      <c r="J8" s="21">
        <f>J5</f>
        <v>0</v>
      </c>
      <c r="K8" s="21"/>
      <c r="L8" s="21">
        <f>L5</f>
        <v>0</v>
      </c>
      <c r="M8" s="21">
        <f>M5</f>
        <v>0</v>
      </c>
      <c r="N8" s="21">
        <f>N5</f>
        <v>15117.079145526026</v>
      </c>
      <c r="O8" s="21">
        <f>O5</f>
        <v>340.80666666666667</v>
      </c>
      <c r="P8" s="21">
        <f>P5</f>
        <v>1563.4666666666667</v>
      </c>
    </row>
    <row r="9" spans="1:16">
      <c r="B9" s="19"/>
      <c r="C9" s="19"/>
      <c r="D9" s="258"/>
      <c r="E9" s="19"/>
      <c r="F9" s="19"/>
      <c r="G9" s="19"/>
      <c r="H9" s="19"/>
      <c r="I9" s="19"/>
      <c r="J9" s="19"/>
      <c r="K9" s="19"/>
      <c r="L9" s="19"/>
      <c r="M9" s="19"/>
      <c r="N9" s="19"/>
      <c r="O9" s="19"/>
      <c r="P9" s="19"/>
    </row>
    <row r="10" spans="1:16">
      <c r="A10" s="24" t="s">
        <v>214</v>
      </c>
      <c r="B10" s="25">
        <f ca="1">'EF ele_warmte'!B12</f>
        <v>0.18365825274250111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4767.0539754615902</v>
      </c>
      <c r="C12" s="23">
        <f ca="1">C10*C8</f>
        <v>0</v>
      </c>
      <c r="D12" s="23">
        <f>D8*D10</f>
        <v>10449.687464524</v>
      </c>
      <c r="E12" s="23">
        <f>E10*E8</f>
        <v>1745.2842129247042</v>
      </c>
      <c r="F12" s="23">
        <f>F10*F8</f>
        <v>3502.5024929811748</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1399</v>
      </c>
      <c r="C18" s="166" t="s">
        <v>111</v>
      </c>
      <c r="D18" s="228"/>
      <c r="E18" s="15"/>
    </row>
    <row r="19" spans="1:7">
      <c r="A19" s="171" t="s">
        <v>72</v>
      </c>
      <c r="B19" s="37">
        <f>aantalw2001_ander</f>
        <v>3</v>
      </c>
      <c r="C19" s="166" t="s">
        <v>111</v>
      </c>
      <c r="D19" s="229"/>
      <c r="E19" s="15"/>
    </row>
    <row r="20" spans="1:7">
      <c r="A20" s="171" t="s">
        <v>73</v>
      </c>
      <c r="B20" s="37">
        <f>aantalw2001_propaan</f>
        <v>78</v>
      </c>
      <c r="C20" s="167">
        <f>IF(ISERROR(B20/SUM($B$20,$B$21,$B$22)*100),0,B20/SUM($B$20,$B$21,$B$22)*100)</f>
        <v>22.873900293255129</v>
      </c>
      <c r="D20" s="229"/>
      <c r="E20" s="15"/>
    </row>
    <row r="21" spans="1:7">
      <c r="A21" s="171" t="s">
        <v>74</v>
      </c>
      <c r="B21" s="37">
        <f>aantalw2001_elektriciteit</f>
        <v>209</v>
      </c>
      <c r="C21" s="167">
        <f>IF(ISERROR(B21/SUM($B$20,$B$21,$B$22)*100),0,B21/SUM($B$20,$B$21,$B$22)*100)</f>
        <v>61.29032258064516</v>
      </c>
      <c r="D21" s="229"/>
      <c r="E21" s="15"/>
    </row>
    <row r="22" spans="1:7">
      <c r="A22" s="171" t="s">
        <v>75</v>
      </c>
      <c r="B22" s="37">
        <f>aantalw2001_hout</f>
        <v>54</v>
      </c>
      <c r="C22" s="167">
        <f>IF(ISERROR(B22/SUM($B$20,$B$21,$B$22)*100),0,B22/SUM($B$20,$B$21,$B$22)*100)</f>
        <v>15.835777126099707</v>
      </c>
      <c r="D22" s="229"/>
      <c r="E22" s="15"/>
    </row>
    <row r="23" spans="1:7">
      <c r="A23" s="171" t="s">
        <v>76</v>
      </c>
      <c r="B23" s="37">
        <f>aantalw2001_niet_gespec</f>
        <v>43</v>
      </c>
      <c r="C23" s="166" t="s">
        <v>111</v>
      </c>
      <c r="D23" s="228"/>
      <c r="E23" s="15"/>
    </row>
    <row r="24" spans="1:7">
      <c r="A24" s="171" t="s">
        <v>77</v>
      </c>
      <c r="B24" s="37">
        <f>aantalw2001_steenkool</f>
        <v>68</v>
      </c>
      <c r="C24" s="166" t="s">
        <v>111</v>
      </c>
      <c r="D24" s="229"/>
      <c r="E24" s="15"/>
    </row>
    <row r="25" spans="1:7">
      <c r="A25" s="171" t="s">
        <v>78</v>
      </c>
      <c r="B25" s="37">
        <f>aantalw2001_stookolie</f>
        <v>2869</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698</v>
      </c>
      <c r="B28" s="37">
        <f>aantalHuishoudens2011</f>
        <v>6095</v>
      </c>
      <c r="C28" s="36"/>
      <c r="D28" s="228"/>
    </row>
    <row r="29" spans="1:7" s="15" customFormat="1">
      <c r="A29" s="230" t="s">
        <v>699</v>
      </c>
      <c r="B29" s="37">
        <f>SUM(HH_hh_gas_aantal,HH_rest_gas_aantal)</f>
        <v>3988</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3988</v>
      </c>
      <c r="C32" s="167">
        <f>IF(ISERROR(B32/SUM($B$32,$B$34,$B$35,$B$36,$B$38,$B$39)*100),0,B32/SUM($B$32,$B$34,$B$35,$B$36,$B$38,$B$39)*100)</f>
        <v>66.322966905039081</v>
      </c>
      <c r="D32" s="233"/>
      <c r="G32" s="15"/>
    </row>
    <row r="33" spans="1:7">
      <c r="A33" s="171" t="s">
        <v>72</v>
      </c>
      <c r="B33" s="34" t="s">
        <v>111</v>
      </c>
      <c r="C33" s="167"/>
      <c r="D33" s="233"/>
      <c r="G33" s="15"/>
    </row>
    <row r="34" spans="1:7">
      <c r="A34" s="171" t="s">
        <v>73</v>
      </c>
      <c r="B34" s="33">
        <f>IF((($B$28-$B$32-$B$39-$B$77-$B$38)*C20/100)&lt;0,0,($B$28-$B$32-$B$39-$B$77-$B$38)*C20/100)</f>
        <v>339.92903225806447</v>
      </c>
      <c r="C34" s="167">
        <f>IF(ISERROR(B34/SUM($B$32,$B$34,$B$35,$B$36,$B$38,$B$39)*100),0,B34/SUM($B$32,$B$34,$B$35,$B$36,$B$38,$B$39)*100)</f>
        <v>5.6532351947125301</v>
      </c>
      <c r="D34" s="233"/>
      <c r="G34" s="15"/>
    </row>
    <row r="35" spans="1:7">
      <c r="A35" s="171" t="s">
        <v>74</v>
      </c>
      <c r="B35" s="33">
        <f>IF((($B$28-$B$32-$B$39-$B$77-$B$38)*C21/100)&lt;0,0,($B$28-$B$32-$B$39-$B$77-$B$38)*C21/100)</f>
        <v>910.83548387096778</v>
      </c>
      <c r="C35" s="167">
        <f>IF(ISERROR(B35/SUM($B$32,$B$34,$B$35,$B$36,$B$38,$B$39)*100),0,B35/SUM($B$32,$B$34,$B$35,$B$36,$B$38,$B$39)*100)</f>
        <v>15.147771226857937</v>
      </c>
      <c r="D35" s="233"/>
      <c r="G35" s="15"/>
    </row>
    <row r="36" spans="1:7">
      <c r="A36" s="171" t="s">
        <v>75</v>
      </c>
      <c r="B36" s="33">
        <f>IF((($B$28-$B$32-$B$39-$B$77-$B$38)*C22/100)&lt;0,0,($B$28-$B$32-$B$39-$B$77-$B$38)*C22/100)</f>
        <v>235.33548387096772</v>
      </c>
      <c r="C36" s="167">
        <f>IF(ISERROR(B36/SUM($B$32,$B$34,$B$35,$B$36,$B$38,$B$39)*100),0,B36/SUM($B$32,$B$34,$B$35,$B$36,$B$38,$B$39)*100)</f>
        <v>3.9137782117240603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538.90000000000009</v>
      </c>
      <c r="C39" s="167">
        <f>IF(ISERROR(B39/SUM($B$32,$B$34,$B$35,$B$36,$B$38,$B$39)*100),0,B39/SUM($B$32,$B$34,$B$35,$B$36,$B$38,$B$39)*100)</f>
        <v>8.9622484616663911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3988</v>
      </c>
      <c r="C44" s="34" t="s">
        <v>111</v>
      </c>
      <c r="D44" s="174"/>
    </row>
    <row r="45" spans="1:7">
      <c r="A45" s="171" t="s">
        <v>72</v>
      </c>
      <c r="B45" s="33" t="str">
        <f t="shared" si="0"/>
        <v>-</v>
      </c>
      <c r="C45" s="34" t="s">
        <v>111</v>
      </c>
      <c r="D45" s="174"/>
    </row>
    <row r="46" spans="1:7">
      <c r="A46" s="171" t="s">
        <v>73</v>
      </c>
      <c r="B46" s="33">
        <f t="shared" si="0"/>
        <v>339.92903225806447</v>
      </c>
      <c r="C46" s="34" t="s">
        <v>111</v>
      </c>
      <c r="D46" s="174"/>
    </row>
    <row r="47" spans="1:7">
      <c r="A47" s="171" t="s">
        <v>74</v>
      </c>
      <c r="B47" s="33">
        <f t="shared" si="0"/>
        <v>910.83548387096778</v>
      </c>
      <c r="C47" s="34" t="s">
        <v>111</v>
      </c>
      <c r="D47" s="174"/>
    </row>
    <row r="48" spans="1:7">
      <c r="A48" s="171" t="s">
        <v>75</v>
      </c>
      <c r="B48" s="33">
        <f t="shared" si="0"/>
        <v>235.33548387096772</v>
      </c>
      <c r="C48" s="33">
        <f>B48*10</f>
        <v>2353.3548387096771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538.90000000000009</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218</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28119.673999999999</v>
      </c>
      <c r="C5" s="17">
        <f>IF(ISERROR('Eigen informatie GS &amp; warmtenet'!B58),0,'Eigen informatie GS &amp; warmtenet'!B58)</f>
        <v>0</v>
      </c>
      <c r="D5" s="30">
        <f>SUM(D6:D12)</f>
        <v>28853.01815</v>
      </c>
      <c r="E5" s="17">
        <f>SUM(E6:E12)</f>
        <v>374.06195221887293</v>
      </c>
      <c r="F5" s="17">
        <f>SUM(F6:F12)</f>
        <v>6686.3536102005555</v>
      </c>
      <c r="G5" s="18"/>
      <c r="H5" s="17"/>
      <c r="I5" s="17"/>
      <c r="J5" s="17">
        <f>SUM(J6:J12)</f>
        <v>0</v>
      </c>
      <c r="K5" s="17"/>
      <c r="L5" s="17"/>
      <c r="M5" s="17"/>
      <c r="N5" s="17">
        <f>SUM(N6:N12)</f>
        <v>2457.2531017143087</v>
      </c>
      <c r="O5" s="17">
        <f>B38*B39*B40</f>
        <v>0</v>
      </c>
      <c r="P5" s="17">
        <f>B46*B47*B48/1000-B46*B47*B48/1000/B49</f>
        <v>38.133333333333333</v>
      </c>
      <c r="R5" s="32"/>
    </row>
    <row r="6" spans="1:18">
      <c r="A6" s="32" t="s">
        <v>54</v>
      </c>
      <c r="B6" s="37">
        <f>B26</f>
        <v>6872.0069999999996</v>
      </c>
      <c r="C6" s="33"/>
      <c r="D6" s="37">
        <f>IF(ISERROR(TER_kantoor_gas_kWh/1000),0,TER_kantoor_gas_kWh/1000)*0.902</f>
        <v>6767.4462240000003</v>
      </c>
      <c r="E6" s="33">
        <f>$C$26*'E Balans VL '!I12/100/3.6*1000000</f>
        <v>89.963036715152583</v>
      </c>
      <c r="F6" s="33">
        <f>$C$26*('E Balans VL '!L12+'E Balans VL '!N12)/100/3.6*1000000</f>
        <v>1752.2907723323331</v>
      </c>
      <c r="G6" s="34"/>
      <c r="H6" s="33"/>
      <c r="I6" s="33"/>
      <c r="J6" s="33">
        <f>$C$26*('E Balans VL '!D12+'E Balans VL '!E12)/100/3.6*1000000</f>
        <v>0</v>
      </c>
      <c r="K6" s="33"/>
      <c r="L6" s="33"/>
      <c r="M6" s="33"/>
      <c r="N6" s="33">
        <f>$C$26*'E Balans VL '!Y12/100/3.6*1000000</f>
        <v>6.8951481154884986</v>
      </c>
      <c r="O6" s="33"/>
      <c r="P6" s="33"/>
      <c r="R6" s="32"/>
    </row>
    <row r="7" spans="1:18">
      <c r="A7" s="32" t="s">
        <v>53</v>
      </c>
      <c r="B7" s="37">
        <f t="shared" ref="B7:B12" si="0">B27</f>
        <v>1279.704</v>
      </c>
      <c r="C7" s="33"/>
      <c r="D7" s="37">
        <f>IF(ISERROR(TER_horeca_gas_kWh/1000),0,TER_horeca_gas_kWh/1000)*0.902</f>
        <v>1496.2240700000002</v>
      </c>
      <c r="E7" s="33">
        <f>$C$27*'E Balans VL '!I9/100/3.6*1000000</f>
        <v>42.350418221695584</v>
      </c>
      <c r="F7" s="33">
        <f>$C$27*('E Balans VL '!L9+'E Balans VL '!N9)/100/3.6*1000000</f>
        <v>550.26781558020821</v>
      </c>
      <c r="G7" s="34"/>
      <c r="H7" s="33"/>
      <c r="I7" s="33"/>
      <c r="J7" s="33">
        <f>$C$27*('E Balans VL '!D9+'E Balans VL '!E9)/100/3.6*1000000</f>
        <v>0</v>
      </c>
      <c r="K7" s="33"/>
      <c r="L7" s="33"/>
      <c r="M7" s="33"/>
      <c r="N7" s="33">
        <f>$C$27*'E Balans VL '!Y9/100/3.6*1000000</f>
        <v>0.30804333614143226</v>
      </c>
      <c r="O7" s="33"/>
      <c r="P7" s="33"/>
      <c r="R7" s="32"/>
    </row>
    <row r="8" spans="1:18">
      <c r="A8" s="6" t="s">
        <v>52</v>
      </c>
      <c r="B8" s="37">
        <f t="shared" si="0"/>
        <v>7422.6350000000002</v>
      </c>
      <c r="C8" s="33"/>
      <c r="D8" s="37">
        <f>IF(ISERROR(TER_handel_gas_kWh/1000),0,TER_handel_gas_kWh/1000)*0.902</f>
        <v>5506.8786740000005</v>
      </c>
      <c r="E8" s="33">
        <f>$C$28*'E Balans VL '!I13/100/3.6*1000000</f>
        <v>234.26970204868377</v>
      </c>
      <c r="F8" s="33">
        <f>$C$28*('E Balans VL '!L13+'E Balans VL '!N13)/100/3.6*1000000</f>
        <v>1455.7094279874959</v>
      </c>
      <c r="G8" s="34"/>
      <c r="H8" s="33"/>
      <c r="I8" s="33"/>
      <c r="J8" s="33">
        <f>$C$28*('E Balans VL '!D13+'E Balans VL '!E13)/100/3.6*1000000</f>
        <v>0</v>
      </c>
      <c r="K8" s="33"/>
      <c r="L8" s="33"/>
      <c r="M8" s="33"/>
      <c r="N8" s="33">
        <f>$C$28*'E Balans VL '!Y13/100/3.6*1000000</f>
        <v>8.8092266581062013</v>
      </c>
      <c r="O8" s="33"/>
      <c r="P8" s="33"/>
      <c r="R8" s="32"/>
    </row>
    <row r="9" spans="1:18">
      <c r="A9" s="32" t="s">
        <v>51</v>
      </c>
      <c r="B9" s="37">
        <f t="shared" si="0"/>
        <v>8481.4439999999995</v>
      </c>
      <c r="C9" s="33"/>
      <c r="D9" s="37">
        <f>IF(ISERROR(TER_gezond_gas_kWh/1000),0,TER_gezond_gas_kWh/1000)*0.902</f>
        <v>9182.6188739999998</v>
      </c>
      <c r="E9" s="33">
        <f>$C$29*'E Balans VL '!I10/100/3.6*1000000</f>
        <v>1.0858729511389213</v>
      </c>
      <c r="F9" s="33">
        <f>$C$29*('E Balans VL '!L10+'E Balans VL '!N10)/100/3.6*1000000</f>
        <v>1767.0402750963365</v>
      </c>
      <c r="G9" s="34"/>
      <c r="H9" s="33"/>
      <c r="I9" s="33"/>
      <c r="J9" s="33">
        <f>$C$29*('E Balans VL '!D10+'E Balans VL '!E10)/100/3.6*1000000</f>
        <v>0</v>
      </c>
      <c r="K9" s="33"/>
      <c r="L9" s="33"/>
      <c r="M9" s="33"/>
      <c r="N9" s="33">
        <f>$C$29*'E Balans VL '!Y10/100/3.6*1000000</f>
        <v>99.618568637462147</v>
      </c>
      <c r="O9" s="33"/>
      <c r="P9" s="33"/>
      <c r="R9" s="32"/>
    </row>
    <row r="10" spans="1:18">
      <c r="A10" s="32" t="s">
        <v>50</v>
      </c>
      <c r="B10" s="37">
        <f t="shared" si="0"/>
        <v>2968.759</v>
      </c>
      <c r="C10" s="33"/>
      <c r="D10" s="37">
        <f>IF(ISERROR(TER_ander_gas_kWh/1000),0,TER_ander_gas_kWh/1000)*0.902</f>
        <v>2290.7967720000001</v>
      </c>
      <c r="E10" s="33">
        <f>$C$30*'E Balans VL '!I14/100/3.6*1000000</f>
        <v>4.4643153860443707</v>
      </c>
      <c r="F10" s="33">
        <f>$C$30*('E Balans VL '!L14+'E Balans VL '!N14)/100/3.6*1000000</f>
        <v>655.40629045008177</v>
      </c>
      <c r="G10" s="34"/>
      <c r="H10" s="33"/>
      <c r="I10" s="33"/>
      <c r="J10" s="33">
        <f>$C$30*('E Balans VL '!D14+'E Balans VL '!E14)/100/3.6*1000000</f>
        <v>0</v>
      </c>
      <c r="K10" s="33"/>
      <c r="L10" s="33"/>
      <c r="M10" s="33"/>
      <c r="N10" s="33">
        <f>$C$30*'E Balans VL '!Y14/100/3.6*1000000</f>
        <v>2339.5818819478691</v>
      </c>
      <c r="O10" s="33"/>
      <c r="P10" s="33"/>
      <c r="R10" s="32"/>
    </row>
    <row r="11" spans="1:18">
      <c r="A11" s="32" t="s">
        <v>55</v>
      </c>
      <c r="B11" s="37">
        <f t="shared" si="0"/>
        <v>1095.125</v>
      </c>
      <c r="C11" s="33"/>
      <c r="D11" s="37">
        <f>IF(ISERROR(TER_onderwijs_gas_kWh/1000),0,TER_onderwijs_gas_kWh/1000)*0.902</f>
        <v>3609.0535360000003</v>
      </c>
      <c r="E11" s="33">
        <f>$C$31*'E Balans VL '!I11/100/3.6*1000000</f>
        <v>1.9286068961577798</v>
      </c>
      <c r="F11" s="33">
        <f>$C$31*('E Balans VL '!L11+'E Balans VL '!N11)/100/3.6*1000000</f>
        <v>505.63902875410037</v>
      </c>
      <c r="G11" s="34"/>
      <c r="H11" s="33"/>
      <c r="I11" s="33"/>
      <c r="J11" s="33">
        <f>$C$31*('E Balans VL '!D11+'E Balans VL '!E11)/100/3.6*1000000</f>
        <v>0</v>
      </c>
      <c r="K11" s="33"/>
      <c r="L11" s="33"/>
      <c r="M11" s="33"/>
      <c r="N11" s="33">
        <f>$C$31*'E Balans VL '!Y11/100/3.6*1000000</f>
        <v>2.0402330192412852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28119.673999999999</v>
      </c>
      <c r="C16" s="21">
        <f t="shared" ca="1" si="1"/>
        <v>0</v>
      </c>
      <c r="D16" s="21">
        <f t="shared" ca="1" si="1"/>
        <v>28853.01815</v>
      </c>
      <c r="E16" s="21">
        <f t="shared" si="1"/>
        <v>374.06195221887293</v>
      </c>
      <c r="F16" s="21">
        <f t="shared" ca="1" si="1"/>
        <v>6686.3536102005555</v>
      </c>
      <c r="G16" s="21">
        <f t="shared" si="1"/>
        <v>0</v>
      </c>
      <c r="H16" s="21">
        <f t="shared" si="1"/>
        <v>0</v>
      </c>
      <c r="I16" s="21">
        <f t="shared" si="1"/>
        <v>0</v>
      </c>
      <c r="J16" s="21">
        <f t="shared" si="1"/>
        <v>0</v>
      </c>
      <c r="K16" s="21">
        <f t="shared" si="1"/>
        <v>0</v>
      </c>
      <c r="L16" s="21">
        <f t="shared" ca="1" si="1"/>
        <v>0</v>
      </c>
      <c r="M16" s="21">
        <f t="shared" si="1"/>
        <v>0</v>
      </c>
      <c r="N16" s="21">
        <f t="shared" ca="1" si="1"/>
        <v>2457.2531017143087</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0.18365825274250111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5164.4101945287366</v>
      </c>
      <c r="C20" s="23">
        <f t="shared" ref="C20:P20" ca="1" si="2">C16*C18</f>
        <v>0</v>
      </c>
      <c r="D20" s="23">
        <f t="shared" ca="1" si="2"/>
        <v>5828.3096663000006</v>
      </c>
      <c r="E20" s="23">
        <f t="shared" si="2"/>
        <v>84.912063153684159</v>
      </c>
      <c r="F20" s="23">
        <f t="shared" ca="1" si="2"/>
        <v>1785.2564139235485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6872.0069999999996</v>
      </c>
      <c r="C26" s="39">
        <f>IF(ISERROR(B26*3.6/1000000/'E Balans VL '!Z12*100),0,B26*3.6/1000000/'E Balans VL '!Z12*100)</f>
        <v>0.1472037285943536</v>
      </c>
      <c r="D26" s="237" t="s">
        <v>660</v>
      </c>
      <c r="F26" s="6"/>
    </row>
    <row r="27" spans="1:18">
      <c r="A27" s="231" t="s">
        <v>53</v>
      </c>
      <c r="B27" s="33">
        <f>IF(ISERROR(TER_horeca_ele_kWh/1000),0,TER_horeca_ele_kWh/1000)</f>
        <v>1279.704</v>
      </c>
      <c r="C27" s="39">
        <f>IF(ISERROR(B27*3.6/1000000/'E Balans VL '!Z9*100),0,B27*3.6/1000000/'E Balans VL '!Z9*100)</f>
        <v>0.10269179779429957</v>
      </c>
      <c r="D27" s="237" t="s">
        <v>660</v>
      </c>
      <c r="F27" s="6"/>
    </row>
    <row r="28" spans="1:18">
      <c r="A28" s="171" t="s">
        <v>52</v>
      </c>
      <c r="B28" s="33">
        <f>IF(ISERROR(TER_handel_ele_kWh/1000),0,TER_handel_ele_kWh/1000)</f>
        <v>7422.6350000000002</v>
      </c>
      <c r="C28" s="39">
        <f>IF(ISERROR(B28*3.6/1000000/'E Balans VL '!Z13*100),0,B28*3.6/1000000/'E Balans VL '!Z13*100)</f>
        <v>0.21892515796380027</v>
      </c>
      <c r="D28" s="237" t="s">
        <v>660</v>
      </c>
      <c r="F28" s="6"/>
    </row>
    <row r="29" spans="1:18">
      <c r="A29" s="231" t="s">
        <v>51</v>
      </c>
      <c r="B29" s="33">
        <f>IF(ISERROR(TER_gezond_ele_kWh/1000),0,TER_gezond_ele_kWh/1000)</f>
        <v>8481.4439999999995</v>
      </c>
      <c r="C29" s="39">
        <f>IF(ISERROR(B29*3.6/1000000/'E Balans VL '!Z10*100),0,B29*3.6/1000000/'E Balans VL '!Z10*100)</f>
        <v>0.90559082315907857</v>
      </c>
      <c r="D29" s="237" t="s">
        <v>660</v>
      </c>
      <c r="F29" s="6"/>
    </row>
    <row r="30" spans="1:18">
      <c r="A30" s="231" t="s">
        <v>50</v>
      </c>
      <c r="B30" s="33">
        <f>IF(ISERROR(TER_ander_ele_kWh/1000),0,TER_ander_ele_kWh/1000)</f>
        <v>2968.759</v>
      </c>
      <c r="C30" s="39">
        <f>IF(ISERROR(B30*3.6/1000000/'E Balans VL '!Z14*100),0,B30*3.6/1000000/'E Balans VL '!Z14*100)</f>
        <v>0.22424202511635424</v>
      </c>
      <c r="D30" s="237" t="s">
        <v>660</v>
      </c>
      <c r="F30" s="6"/>
    </row>
    <row r="31" spans="1:18">
      <c r="A31" s="231" t="s">
        <v>55</v>
      </c>
      <c r="B31" s="33">
        <f>IF(ISERROR(TER_onderwijs_ele_kWh/1000),0,TER_onderwijs_ele_kWh/1000)</f>
        <v>1095.125</v>
      </c>
      <c r="C31" s="39">
        <f>IF(ISERROR(B31*3.6/1000000/'E Balans VL '!Z11*100),0,B31*3.6/1000000/'E Balans VL '!Z11*100)</f>
        <v>0.22114229559676693</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61783.987999999998</v>
      </c>
      <c r="C5" s="17">
        <f>IF(ISERROR('Eigen informatie GS &amp; warmtenet'!B59),0,'Eigen informatie GS &amp; warmtenet'!B59)</f>
        <v>0</v>
      </c>
      <c r="D5" s="30">
        <f>SUM(D6:D15)</f>
        <v>122041.57866999999</v>
      </c>
      <c r="E5" s="17">
        <f>SUM(E6:E15)</f>
        <v>5724.4765602567149</v>
      </c>
      <c r="F5" s="17">
        <f>SUM(F6:F15)</f>
        <v>28402.246035855631</v>
      </c>
      <c r="G5" s="18"/>
      <c r="H5" s="17"/>
      <c r="I5" s="17"/>
      <c r="J5" s="17">
        <f>SUM(J6:J15)</f>
        <v>407.12489938400074</v>
      </c>
      <c r="K5" s="17"/>
      <c r="L5" s="17"/>
      <c r="M5" s="17"/>
      <c r="N5" s="17">
        <f>SUM(N6:N15)</f>
        <v>18039.768869877778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27917.24</v>
      </c>
      <c r="C8" s="33"/>
      <c r="D8" s="37">
        <f>IF( ISERROR(IND_metaal_Gas_kWH/1000),0,IND_metaal_Gas_kWH/1000)*0.902</f>
        <v>49375.769542000002</v>
      </c>
      <c r="E8" s="33">
        <f>C30*'E Balans VL '!I18/100/3.6*1000000</f>
        <v>1004.5467505760619</v>
      </c>
      <c r="F8" s="33">
        <f>C30*'E Balans VL '!L18/100/3.6*1000000+C30*'E Balans VL '!N18/100/3.6*1000000</f>
        <v>12190.553728445837</v>
      </c>
      <c r="G8" s="34"/>
      <c r="H8" s="33"/>
      <c r="I8" s="33"/>
      <c r="J8" s="40">
        <f>C30*'E Balans VL '!D18/100/3.6*1000000+C30*'E Balans VL '!E18/100/3.6*1000000</f>
        <v>0</v>
      </c>
      <c r="K8" s="33"/>
      <c r="L8" s="33"/>
      <c r="M8" s="33"/>
      <c r="N8" s="33">
        <f>C30*'E Balans VL '!Y18/100/3.6*1000000</f>
        <v>1399.1930970251785</v>
      </c>
      <c r="O8" s="33"/>
      <c r="P8" s="33"/>
      <c r="R8" s="32"/>
    </row>
    <row r="9" spans="1:18">
      <c r="A9" s="6" t="s">
        <v>33</v>
      </c>
      <c r="B9" s="37">
        <f t="shared" si="0"/>
        <v>17479.759999999998</v>
      </c>
      <c r="C9" s="33"/>
      <c r="D9" s="37">
        <f>IF( ISERROR(IND_andere_gas_kWh/1000),0,IND_andere_gas_kWh/1000)*0.902</f>
        <v>9641.4202719999994</v>
      </c>
      <c r="E9" s="33">
        <f>C31*'E Balans VL '!I19/100/3.6*1000000</f>
        <v>4460.4392613527179</v>
      </c>
      <c r="F9" s="33">
        <f>C31*'E Balans VL '!L19/100/3.6*1000000+C31*'E Balans VL '!N19/100/3.6*1000000</f>
        <v>15048.759530161082</v>
      </c>
      <c r="G9" s="34"/>
      <c r="H9" s="33"/>
      <c r="I9" s="33"/>
      <c r="J9" s="40">
        <f>C31*'E Balans VL '!D19/100/3.6*1000000+C31*'E Balans VL '!E19/100/3.6*1000000</f>
        <v>0</v>
      </c>
      <c r="K9" s="33"/>
      <c r="L9" s="33"/>
      <c r="M9" s="33"/>
      <c r="N9" s="33">
        <f>C31*'E Balans VL '!Y19/100/3.6*1000000</f>
        <v>5466.5195712609348</v>
      </c>
      <c r="O9" s="33"/>
      <c r="P9" s="33"/>
      <c r="R9" s="32"/>
    </row>
    <row r="10" spans="1:18">
      <c r="A10" s="6" t="s">
        <v>41</v>
      </c>
      <c r="B10" s="37">
        <f t="shared" si="0"/>
        <v>185.39400000000001</v>
      </c>
      <c r="C10" s="33"/>
      <c r="D10" s="37">
        <f>IF( ISERROR(IND_voed_gas_kWh/1000),0,IND_voed_gas_kWh/1000)*0.902</f>
        <v>437.14618200000001</v>
      </c>
      <c r="E10" s="33">
        <f>C32*'E Balans VL '!I20/100/3.6*1000000</f>
        <v>4.7129700468233224</v>
      </c>
      <c r="F10" s="33">
        <f>C32*'E Balans VL '!L20/100/3.6*1000000+C32*'E Balans VL '!N20/100/3.6*1000000</f>
        <v>41.951879196053589</v>
      </c>
      <c r="G10" s="34"/>
      <c r="H10" s="33"/>
      <c r="I10" s="33"/>
      <c r="J10" s="40">
        <f>C32*'E Balans VL '!D20/100/3.6*1000000+C32*'E Balans VL '!E20/100/3.6*1000000</f>
        <v>0</v>
      </c>
      <c r="K10" s="33"/>
      <c r="L10" s="33"/>
      <c r="M10" s="33"/>
      <c r="N10" s="33">
        <f>C32*'E Balans VL '!Y20/100/3.6*1000000</f>
        <v>69.527775302033518</v>
      </c>
      <c r="O10" s="33"/>
      <c r="P10" s="33"/>
      <c r="R10" s="32"/>
    </row>
    <row r="11" spans="1:18">
      <c r="A11" s="6" t="s">
        <v>40</v>
      </c>
      <c r="B11" s="37">
        <f t="shared" si="0"/>
        <v>1471.6510000000001</v>
      </c>
      <c r="C11" s="33"/>
      <c r="D11" s="37">
        <f>IF( ISERROR(IND_textiel_gas_kWh/1000),0,IND_textiel_gas_kWh/1000)*0.902</f>
        <v>3403.9333240000001</v>
      </c>
      <c r="E11" s="33">
        <f>C33*'E Balans VL '!I21/100/3.6*1000000</f>
        <v>4.0400777555813985</v>
      </c>
      <c r="F11" s="33">
        <f>C33*'E Balans VL '!L21/100/3.6*1000000+C33*'E Balans VL '!N21/100/3.6*1000000</f>
        <v>78.020802860001126</v>
      </c>
      <c r="G11" s="34"/>
      <c r="H11" s="33"/>
      <c r="I11" s="33"/>
      <c r="J11" s="40">
        <f>C33*'E Balans VL '!D21/100/3.6*1000000+C33*'E Balans VL '!E21/100/3.6*1000000</f>
        <v>0</v>
      </c>
      <c r="K11" s="33"/>
      <c r="L11" s="33"/>
      <c r="M11" s="33"/>
      <c r="N11" s="33">
        <f>C33*'E Balans VL '!Y21/100/3.6*1000000</f>
        <v>2.957774977357019</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5603.3649999999998</v>
      </c>
      <c r="C13" s="33"/>
      <c r="D13" s="37">
        <f>IF( ISERROR(IND_papier_gas_kWh/1000),0,IND_papier_gas_kWh/1000)*0.902</f>
        <v>2109.0708319999999</v>
      </c>
      <c r="E13" s="33">
        <f>C35*'E Balans VL '!I23/100/3.6*1000000</f>
        <v>24.031202366473668</v>
      </c>
      <c r="F13" s="33">
        <f>C35*'E Balans VL '!L23/100/3.6*1000000+C35*'E Balans VL '!N23/100/3.6*1000000</f>
        <v>140.82995418780123</v>
      </c>
      <c r="G13" s="34"/>
      <c r="H13" s="33"/>
      <c r="I13" s="33"/>
      <c r="J13" s="40">
        <f>C35*'E Balans VL '!D23/100/3.6*1000000+C35*'E Balans VL '!E23/100/3.6*1000000</f>
        <v>375.11455355721438</v>
      </c>
      <c r="K13" s="33"/>
      <c r="L13" s="33"/>
      <c r="M13" s="33"/>
      <c r="N13" s="33">
        <f>C35*'E Balans VL '!Y23/100/3.6*1000000</f>
        <v>10199.456831036214</v>
      </c>
      <c r="O13" s="33"/>
      <c r="P13" s="33"/>
      <c r="R13" s="32"/>
    </row>
    <row r="14" spans="1:18">
      <c r="A14" s="6" t="s">
        <v>34</v>
      </c>
      <c r="B14" s="37">
        <f t="shared" si="0"/>
        <v>5178.152</v>
      </c>
      <c r="C14" s="33"/>
      <c r="D14" s="37">
        <f>IF( ISERROR(IND_chemie_gas_kWh/1000),0,IND_chemie_gas_kWh/1000)*0.902</f>
        <v>0</v>
      </c>
      <c r="E14" s="33">
        <f>C36*'E Balans VL '!I24/100/3.6*1000000</f>
        <v>12.413808330730909</v>
      </c>
      <c r="F14" s="33">
        <f>C36*'E Balans VL '!L24/100/3.6*1000000+C36*'E Balans VL '!N24/100/3.6*1000000</f>
        <v>41.55584111988086</v>
      </c>
      <c r="G14" s="34"/>
      <c r="H14" s="33"/>
      <c r="I14" s="33"/>
      <c r="J14" s="40">
        <f>C36*'E Balans VL '!D24/100/3.6*1000000+C36*'E Balans VL '!E24/100/3.6*1000000</f>
        <v>0</v>
      </c>
      <c r="K14" s="33"/>
      <c r="L14" s="33"/>
      <c r="M14" s="33"/>
      <c r="N14" s="33">
        <f>C36*'E Balans VL '!Y24/100/3.6*1000000</f>
        <v>107.02838742185364</v>
      </c>
      <c r="O14" s="33"/>
      <c r="P14" s="33"/>
      <c r="R14" s="32"/>
    </row>
    <row r="15" spans="1:18">
      <c r="A15" s="6" t="s">
        <v>270</v>
      </c>
      <c r="B15" s="37">
        <f t="shared" si="0"/>
        <v>3948.4259999999999</v>
      </c>
      <c r="C15" s="33"/>
      <c r="D15" s="37">
        <f>IF( ISERROR(IND_rest_gas_kWh/1000),0,IND_rest_gas_kWh/1000)*0.902</f>
        <v>57074.238518000006</v>
      </c>
      <c r="E15" s="33">
        <f>C37*'E Balans VL '!I15/100/3.6*1000000</f>
        <v>214.29248982832627</v>
      </c>
      <c r="F15" s="33">
        <f>C37*'E Balans VL '!L15/100/3.6*1000000+C37*'E Balans VL '!N15/100/3.6*1000000</f>
        <v>860.57429988497529</v>
      </c>
      <c r="G15" s="34"/>
      <c r="H15" s="33"/>
      <c r="I15" s="33"/>
      <c r="J15" s="40">
        <f>C37*'E Balans VL '!D15/100/3.6*1000000+C37*'E Balans VL '!E15/100/3.6*1000000</f>
        <v>32.010345826786384</v>
      </c>
      <c r="K15" s="33"/>
      <c r="L15" s="33"/>
      <c r="M15" s="33"/>
      <c r="N15" s="33">
        <f>C37*'E Balans VL '!Y15/100/3.6*1000000</f>
        <v>795.08543285420399</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61783.987999999998</v>
      </c>
      <c r="C18" s="21">
        <f>C5+C16</f>
        <v>0</v>
      </c>
      <c r="D18" s="21">
        <f>MAX((D5+D16),0)</f>
        <v>122041.57866999999</v>
      </c>
      <c r="E18" s="21">
        <f>MAX((E5+E16),0)</f>
        <v>5724.4765602567149</v>
      </c>
      <c r="F18" s="21">
        <f>MAX((F5+F16),0)</f>
        <v>28402.246035855631</v>
      </c>
      <c r="G18" s="21"/>
      <c r="H18" s="21"/>
      <c r="I18" s="21"/>
      <c r="J18" s="21">
        <f>MAX((J5+J16),0)</f>
        <v>407.12489938400074</v>
      </c>
      <c r="K18" s="21"/>
      <c r="L18" s="21">
        <f>MAX((L5+L16),0)</f>
        <v>0</v>
      </c>
      <c r="M18" s="21"/>
      <c r="N18" s="21">
        <f>MAX((N5+N16),0)</f>
        <v>18039.768869877778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0.18365825274250111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11347.139283543655</v>
      </c>
      <c r="C22" s="23">
        <f ca="1">C18*C20</f>
        <v>0</v>
      </c>
      <c r="D22" s="23">
        <f>D18*D20</f>
        <v>24652.398891339999</v>
      </c>
      <c r="E22" s="23">
        <f>E18*E20</f>
        <v>1299.4561791782744</v>
      </c>
      <c r="F22" s="23">
        <f>F18*F20</f>
        <v>7583.3996915734542</v>
      </c>
      <c r="G22" s="23"/>
      <c r="H22" s="23"/>
      <c r="I22" s="23"/>
      <c r="J22" s="23">
        <f>J18*J20</f>
        <v>144.12221438193626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27917.24</v>
      </c>
      <c r="C30" s="39">
        <f>IF(ISERROR(B30*3.6/1000000/'E Balans VL '!Z18*100),0,B30*3.6/1000000/'E Balans VL '!Z18*100)</f>
        <v>5.9150646261489799</v>
      </c>
      <c r="D30" s="237" t="s">
        <v>660</v>
      </c>
    </row>
    <row r="31" spans="1:18">
      <c r="A31" s="6" t="s">
        <v>33</v>
      </c>
      <c r="B31" s="37">
        <f>IF( ISERROR(IND_ander_ele_kWh/1000),0,IND_ander_ele_kWh/1000)</f>
        <v>17479.759999999998</v>
      </c>
      <c r="C31" s="39">
        <f>IF(ISERROR(B31*3.6/1000000/'E Balans VL '!Z19*100),0,B31*3.6/1000000/'E Balans VL '!Z19*100)</f>
        <v>0.73576278908162107</v>
      </c>
      <c r="D31" s="237" t="s">
        <v>660</v>
      </c>
    </row>
    <row r="32" spans="1:18">
      <c r="A32" s="171" t="s">
        <v>41</v>
      </c>
      <c r="B32" s="37">
        <f>IF( ISERROR(IND_voed_ele_kWh/1000),0,IND_voed_ele_kWh/1000)</f>
        <v>185.39400000000001</v>
      </c>
      <c r="C32" s="39">
        <f>IF(ISERROR(B32*3.6/1000000/'E Balans VL '!Z20*100),0,B32*3.6/1000000/'E Balans VL '!Z20*100)</f>
        <v>3.0972165288844822E-2</v>
      </c>
      <c r="D32" s="237" t="s">
        <v>660</v>
      </c>
    </row>
    <row r="33" spans="1:5">
      <c r="A33" s="171" t="s">
        <v>40</v>
      </c>
      <c r="B33" s="37">
        <f>IF( ISERROR(IND_textiel_ele_kWh/1000),0,IND_textiel_ele_kWh/1000)</f>
        <v>1471.6510000000001</v>
      </c>
      <c r="C33" s="39">
        <f>IF(ISERROR(B33*3.6/1000000/'E Balans VL '!Z21*100),0,B33*3.6/1000000/'E Balans VL '!Z21*100)</f>
        <v>8.5919389320465347E-2</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5603.3649999999998</v>
      </c>
      <c r="C35" s="39">
        <f>IF(ISERROR(B35*3.6/1000000/'E Balans VL '!Z22*100),0,B35*3.6/1000000/'E Balans VL '!Z22*100)</f>
        <v>0.71025673260819477</v>
      </c>
      <c r="D35" s="237" t="s">
        <v>660</v>
      </c>
    </row>
    <row r="36" spans="1:5">
      <c r="A36" s="171" t="s">
        <v>34</v>
      </c>
      <c r="B36" s="37">
        <f>IF( ISERROR(IND_chemie_ele_kWh/1000),0,IND_chemie_ele_kWh/1000)</f>
        <v>5178.152</v>
      </c>
      <c r="C36" s="39">
        <f>IF(ISERROR(B36*3.6/1000000/'E Balans VL '!Z24*100),0,B36*3.6/1000000/'E Balans VL '!Z24*100)</f>
        <v>0.16818654394358618</v>
      </c>
      <c r="D36" s="237" t="s">
        <v>660</v>
      </c>
    </row>
    <row r="37" spans="1:5">
      <c r="A37" s="171" t="s">
        <v>270</v>
      </c>
      <c r="B37" s="37">
        <f>IF( ISERROR(IND_rest_ele_kWh/1000),0,IND_rest_ele_kWh/1000)</f>
        <v>3948.4259999999999</v>
      </c>
      <c r="C37" s="39">
        <f>IF(ISERROR(B37*3.6/1000000/'E Balans VL '!Z15*100),0,B37*3.6/1000000/'E Balans VL '!Z15*100)</f>
        <v>3.1877171998622444E-2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507.70800000000003</v>
      </c>
      <c r="C5" s="17">
        <f>'Eigen informatie GS &amp; warmtenet'!B60</f>
        <v>0</v>
      </c>
      <c r="D5" s="30">
        <f>IF(ISERROR(SUM(LB_lb_gas_kWh,LB_rest_gas_kWh,onbekend_gas_kWh)/1000),0,SUM(LB_lb_gas_kWh,LB_rest_gas_kWh,onbekend_gas_kWh)/1000)*0.902</f>
        <v>47.497516000000005</v>
      </c>
      <c r="E5" s="17">
        <f>B17*'E Balans VL '!I25/3.6*1000000/100</f>
        <v>13.091839946656323</v>
      </c>
      <c r="F5" s="17">
        <f>B17*('E Balans VL '!L25/3.6*1000000+'E Balans VL '!N25/3.6*1000000)/100</f>
        <v>1855.7694282917591</v>
      </c>
      <c r="G5" s="18"/>
      <c r="H5" s="17"/>
      <c r="I5" s="17"/>
      <c r="J5" s="17">
        <f>('E Balans VL '!D25+'E Balans VL '!E25)/3.6*1000000*landbouw!B17/100</f>
        <v>73.091275119910222</v>
      </c>
      <c r="K5" s="17"/>
      <c r="L5" s="17">
        <f>L6*(-1)</f>
        <v>0</v>
      </c>
      <c r="M5" s="17"/>
      <c r="N5" s="17">
        <f>N6*(-1)</f>
        <v>124.71428571428569</v>
      </c>
      <c r="O5" s="17"/>
      <c r="P5" s="17"/>
      <c r="R5" s="32"/>
    </row>
    <row r="6" spans="1:18">
      <c r="A6" s="16" t="s">
        <v>491</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507.70800000000003</v>
      </c>
      <c r="C8" s="21">
        <f>C5+C6</f>
        <v>62.357142857142847</v>
      </c>
      <c r="D8" s="21">
        <f>MAX((D5+D6),0)</f>
        <v>47.497516000000005</v>
      </c>
      <c r="E8" s="21">
        <f>MAX((E5+E6),0)</f>
        <v>13.091839946656323</v>
      </c>
      <c r="F8" s="21">
        <f>MAX((F5+F6),0)</f>
        <v>1855.7694282917591</v>
      </c>
      <c r="G8" s="21"/>
      <c r="H8" s="21"/>
      <c r="I8" s="21"/>
      <c r="J8" s="21">
        <f>MAX((J5+J6),0)</f>
        <v>73.091275119910222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0.18365825274250111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93.244764183389762</v>
      </c>
      <c r="C12" s="23">
        <f ca="1">C8*C10</f>
        <v>0</v>
      </c>
      <c r="D12" s="23">
        <f>D8*D10</f>
        <v>9.5944982320000012</v>
      </c>
      <c r="E12" s="23">
        <f>E8*E10</f>
        <v>2.9718476678909855</v>
      </c>
      <c r="F12" s="23">
        <f>F8*F10</f>
        <v>495.49043735389972</v>
      </c>
      <c r="G12" s="23"/>
      <c r="H12" s="23"/>
      <c r="I12" s="23"/>
      <c r="J12" s="23">
        <f>J8*J10</f>
        <v>25.874311392448217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7.1590190982384269E-2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226.56613705748705</v>
      </c>
      <c r="C26" s="247">
        <f>B26*'GWP N2O_CH4'!B5</f>
        <v>4757.8888782072281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52.595000415139076</v>
      </c>
      <c r="C27" s="247">
        <f>B27*'GWP N2O_CH4'!B5</f>
        <v>1104.4950087179207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3.7714060199898989</v>
      </c>
      <c r="C28" s="247">
        <f>B28*'GWP N2O_CH4'!B4</f>
        <v>1169.1358661968686</v>
      </c>
      <c r="D28" s="50"/>
    </row>
    <row r="29" spans="1:4">
      <c r="A29" s="41" t="s">
        <v>277</v>
      </c>
      <c r="B29" s="247">
        <f>B34*'ha_N2O bodem landbouw'!B4</f>
        <v>7.6090068115368492</v>
      </c>
      <c r="C29" s="247">
        <f>B29*'GWP N2O_CH4'!B4</f>
        <v>2358.7921115764234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1.7124400180539719E-3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9.0763071334286254E-5</v>
      </c>
      <c r="C5" s="463" t="s">
        <v>211</v>
      </c>
      <c r="D5" s="448">
        <f>SUM(D6:D11)</f>
        <v>2.0880423057342606E-4</v>
      </c>
      <c r="E5" s="448">
        <f>SUM(E6:E11)</f>
        <v>8.0237631982635186E-4</v>
      </c>
      <c r="F5" s="461" t="s">
        <v>211</v>
      </c>
      <c r="G5" s="448">
        <f>SUM(G6:G11)</f>
        <v>0.28154690901785279</v>
      </c>
      <c r="H5" s="448">
        <f>SUM(H6:H11)</f>
        <v>5.6022779822403113E-2</v>
      </c>
      <c r="I5" s="463" t="s">
        <v>211</v>
      </c>
      <c r="J5" s="463" t="s">
        <v>211</v>
      </c>
      <c r="K5" s="463" t="s">
        <v>211</v>
      </c>
      <c r="L5" s="463" t="s">
        <v>211</v>
      </c>
      <c r="M5" s="448">
        <f>SUM(M6:M11)</f>
        <v>1.0548688261856395E-2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7.2179478224754489E-5</v>
      </c>
      <c r="C6" s="449"/>
      <c r="D6" s="962">
        <f>vkm_2011_GW_PW*SUMIFS(TableVerdeelsleutelVkm[CNG],TableVerdeelsleutelVkm[Voertuigtype],"Lichte voertuigen")*SUMIFS(TableECFTransport[EnergieConsumptieFactor (PJ per km)],TableECFTransport[Index],CONCATENATE($A6,"_CNG_CNG"))</f>
        <v>1.434218875669049E-4</v>
      </c>
      <c r="E6" s="962">
        <f>vkm_2011_GW_PW*SUMIFS(TableVerdeelsleutelVkm[LPG],TableVerdeelsleutelVkm[Voertuigtype],"Lichte voertuigen")*SUMIFS(TableECFTransport[EnergieConsumptieFactor (PJ per km)],TableECFTransport[Index],CONCATENATE($A6,"_LPG_LPG"))</f>
        <v>5.6441654046832351E-4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0.13419888706258432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3.8828619716458526E-2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5.3916968871708364E-3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8.3422125789702414E-2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2.6948909881693037E-5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2.6285035414354897E-3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1.8583593109531765E-5</v>
      </c>
      <c r="C8" s="449"/>
      <c r="D8" s="451">
        <f>vkm_2011_NGW_PW*SUMIFS(TableVerdeelsleutelVkm[CNG],TableVerdeelsleutelVkm[Voertuigtype],"Lichte voertuigen")*SUMIFS(TableECFTransport[EnergieConsumptieFactor (PJ per km)],TableECFTransport[Index],CONCATENATE($A8,"_CNG_CNG"))</f>
        <v>6.5382343006521154E-5</v>
      </c>
      <c r="E8" s="451">
        <f>vkm_2011_NGW_PW*SUMIFS(TableVerdeelsleutelVkm[LPG],TableVerdeelsleutelVkm[Voertuigtype],"Lichte voertuigen")*SUMIFS(TableECFTransport[EnergieConsumptieFactor (PJ per km)],TableECFTransport[Index],CONCATENATE($A8,"_LPG_LPG"))</f>
        <v>2.3795977935802841E-4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5.2833760310422154E-2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1.716382245450776E-2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2.1789974377118358E-3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1.109213585514392E-2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3.3887415551349628E-6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3.4949039553823323E-4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25.21196425952396</v>
      </c>
      <c r="C14" s="21"/>
      <c r="D14" s="21">
        <f t="shared" ref="D14:M14" si="0">((D5)*10^9/3600)+D12</f>
        <v>58.001175159285019</v>
      </c>
      <c r="E14" s="21">
        <f t="shared" si="0"/>
        <v>222.88231106287552</v>
      </c>
      <c r="F14" s="21"/>
      <c r="G14" s="21">
        <f t="shared" si="0"/>
        <v>78207.474727181325</v>
      </c>
      <c r="H14" s="21">
        <f t="shared" si="0"/>
        <v>15561.883284000864</v>
      </c>
      <c r="I14" s="21"/>
      <c r="J14" s="21"/>
      <c r="K14" s="21"/>
      <c r="L14" s="21"/>
      <c r="M14" s="21">
        <f t="shared" si="0"/>
        <v>2930.1911838489982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0.18365825274250111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4.6303853041105558</v>
      </c>
      <c r="C18" s="23"/>
      <c r="D18" s="23">
        <f t="shared" ref="D18:M18" si="1">D14*D16</f>
        <v>11.716237382175574</v>
      </c>
      <c r="E18" s="23">
        <f t="shared" si="1"/>
        <v>50.594284611272741</v>
      </c>
      <c r="F18" s="23"/>
      <c r="G18" s="23">
        <f t="shared" si="1"/>
        <v>20881.395752157416</v>
      </c>
      <c r="H18" s="23">
        <f t="shared" si="1"/>
        <v>3874.908937716215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7.5402569800038415E-3</v>
      </c>
      <c r="H50" s="321">
        <f t="shared" si="2"/>
        <v>0</v>
      </c>
      <c r="I50" s="321">
        <f t="shared" si="2"/>
        <v>0</v>
      </c>
      <c r="J50" s="321">
        <f t="shared" si="2"/>
        <v>0</v>
      </c>
      <c r="K50" s="321">
        <f t="shared" si="2"/>
        <v>0</v>
      </c>
      <c r="L50" s="321">
        <f t="shared" si="2"/>
        <v>0</v>
      </c>
      <c r="M50" s="321">
        <f t="shared" si="2"/>
        <v>2.3388190259186357E-4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7.5402569800038415E-3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2.3388190259186357E-4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2094.5158277788446</v>
      </c>
      <c r="H54" s="21">
        <f t="shared" si="3"/>
        <v>0</v>
      </c>
      <c r="I54" s="21">
        <f t="shared" si="3"/>
        <v>0</v>
      </c>
      <c r="J54" s="21">
        <f t="shared" si="3"/>
        <v>0</v>
      </c>
      <c r="K54" s="21">
        <f t="shared" si="3"/>
        <v>0</v>
      </c>
      <c r="L54" s="21">
        <f t="shared" si="3"/>
        <v>0</v>
      </c>
      <c r="M54" s="21">
        <f t="shared" si="3"/>
        <v>64.967195164406547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0.18365825274250111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559.2357260169515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19793.962612239971</v>
      </c>
      <c r="C6" s="1203"/>
      <c r="D6" s="1188"/>
      <c r="E6" s="1188"/>
      <c r="F6" s="1206"/>
      <c r="G6" s="1209"/>
      <c r="H6" s="1200"/>
      <c r="I6" s="1188"/>
      <c r="J6" s="1188"/>
      <c r="K6" s="1188"/>
      <c r="L6" s="1192"/>
      <c r="M6" s="575"/>
      <c r="N6" s="1166"/>
      <c r="O6" s="1167"/>
      <c r="Q6" s="573"/>
      <c r="R6" s="1154"/>
      <c r="S6" s="1154"/>
    </row>
    <row r="7" spans="1:19" s="563" customFormat="1">
      <c r="A7" s="576" t="s">
        <v>252</v>
      </c>
      <c r="B7" s="577">
        <f>N57</f>
        <v>43.649999999999991</v>
      </c>
      <c r="C7" s="578">
        <f>B100</f>
        <v>0</v>
      </c>
      <c r="D7" s="579"/>
      <c r="E7" s="579">
        <f>E100</f>
        <v>0</v>
      </c>
      <c r="F7" s="580"/>
      <c r="G7" s="581"/>
      <c r="H7" s="579">
        <f>I100</f>
        <v>0</v>
      </c>
      <c r="I7" s="579">
        <f>G100+F100</f>
        <v>0</v>
      </c>
      <c r="J7" s="579">
        <f>H100+D100+C100</f>
        <v>51.35294117647058</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19837.612612239973</v>
      </c>
      <c r="C9" s="594">
        <f t="shared" ref="C9:L9" si="0">SUM(C7:C8)</f>
        <v>0</v>
      </c>
      <c r="D9" s="594">
        <f t="shared" si="0"/>
        <v>0</v>
      </c>
      <c r="E9" s="594">
        <f t="shared" si="0"/>
        <v>0</v>
      </c>
      <c r="F9" s="594">
        <f t="shared" si="0"/>
        <v>0</v>
      </c>
      <c r="G9" s="594">
        <f t="shared" si="0"/>
        <v>0</v>
      </c>
      <c r="H9" s="594">
        <f t="shared" si="0"/>
        <v>0</v>
      </c>
      <c r="I9" s="594">
        <f t="shared" si="0"/>
        <v>0</v>
      </c>
      <c r="J9" s="594">
        <f t="shared" si="0"/>
        <v>51.35294117647058</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62.357142857142847</v>
      </c>
      <c r="C16" s="610">
        <f>B101</f>
        <v>0</v>
      </c>
      <c r="D16" s="611"/>
      <c r="E16" s="611">
        <f>E101</f>
        <v>0</v>
      </c>
      <c r="F16" s="612"/>
      <c r="G16" s="613"/>
      <c r="H16" s="610">
        <f>I101</f>
        <v>0</v>
      </c>
      <c r="I16" s="611">
        <f>G101+F101</f>
        <v>0</v>
      </c>
      <c r="J16" s="611">
        <f>H101+D101+C101</f>
        <v>73.361344537815114</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62.357142857142847</v>
      </c>
      <c r="C19" s="593">
        <f>SUM(C16:C18)</f>
        <v>0</v>
      </c>
      <c r="D19" s="593">
        <f t="shared" ref="D19:M19" si="1">SUM(D16:D18)</f>
        <v>0</v>
      </c>
      <c r="E19" s="593">
        <f t="shared" si="1"/>
        <v>0</v>
      </c>
      <c r="F19" s="593">
        <f t="shared" si="1"/>
        <v>0</v>
      </c>
      <c r="G19" s="593">
        <f t="shared" si="1"/>
        <v>0</v>
      </c>
      <c r="H19" s="593">
        <f t="shared" si="1"/>
        <v>0</v>
      </c>
      <c r="I19" s="593">
        <f t="shared" si="1"/>
        <v>0</v>
      </c>
      <c r="J19" s="593">
        <f t="shared" si="1"/>
        <v>73.361344537815114</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72029</v>
      </c>
      <c r="C27" s="851">
        <v>3900</v>
      </c>
      <c r="D27" s="672" t="s">
        <v>818</v>
      </c>
      <c r="E27" s="671" t="s">
        <v>819</v>
      </c>
      <c r="F27" s="671" t="s">
        <v>820</v>
      </c>
      <c r="G27" s="671" t="s">
        <v>821</v>
      </c>
      <c r="H27" s="671" t="s">
        <v>822</v>
      </c>
      <c r="I27" s="671" t="s">
        <v>819</v>
      </c>
      <c r="J27" s="850">
        <v>41094</v>
      </c>
      <c r="K27" s="850">
        <v>41244</v>
      </c>
      <c r="L27" s="671" t="s">
        <v>823</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9.6999999999999993</v>
      </c>
      <c r="N57" s="629">
        <f>SUM(N27:N56)</f>
        <v>43.649999999999991</v>
      </c>
      <c r="O57" s="629">
        <f t="shared" ref="O57:W57" si="2">SUM(O27:O56)</f>
        <v>62.357142857142847</v>
      </c>
      <c r="P57" s="629">
        <f t="shared" si="2"/>
        <v>0</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43.649999999999991</v>
      </c>
      <c r="O60" s="634">
        <f t="shared" si="4"/>
        <v>62.357142857142847</v>
      </c>
      <c r="P60" s="634">
        <f t="shared" si="4"/>
        <v>0</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51.35294117647058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73.361344537815114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2018-06-27T09:44:44Z</dcterms:modified>
</cp:coreProperties>
</file>