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R10" i="14"/>
  <c r="C29" i="20" l="1"/>
  <c r="C17" i="19"/>
  <c r="C19" s="1"/>
  <c r="D35" i="14" s="1"/>
  <c r="C20" i="16"/>
  <c r="C22" s="1"/>
  <c r="D39" i="14" s="1"/>
  <c r="C10" i="17"/>
  <c r="C12" s="1"/>
  <c r="D48" i="14" s="1"/>
  <c r="C56" i="22"/>
  <c r="C58" s="1"/>
  <c r="D44" i="14" s="1"/>
  <c r="D46" s="1"/>
  <c r="C18" i="15"/>
  <c r="C20" s="1"/>
  <c r="D36" i="14" s="1"/>
  <c r="C10" i="13"/>
  <c r="C16" i="48" s="1"/>
  <c r="C30" s="1"/>
  <c r="C16" i="22"/>
  <c r="C17" i="49"/>
  <c r="Q5" i="48"/>
  <c r="O13" i="14"/>
  <c r="O15" s="1"/>
  <c r="N22" i="16"/>
  <c r="O39" i="14" s="1"/>
  <c r="O41" s="1"/>
  <c r="O53" s="1"/>
  <c r="N25" i="48"/>
  <c r="N31" s="1"/>
  <c r="N14"/>
  <c r="E25"/>
  <c r="E31" s="1"/>
  <c r="E14"/>
  <c r="K13" i="14"/>
  <c r="K15" s="1"/>
  <c r="K23" s="1"/>
  <c r="K55" s="1"/>
  <c r="H55"/>
  <c r="E55"/>
  <c r="C78"/>
  <c r="C81" s="1"/>
  <c r="J14" i="48"/>
  <c r="J31"/>
  <c r="Q8"/>
  <c r="R19" i="14"/>
  <c r="R20" s="1"/>
  <c r="H14" i="48"/>
  <c r="G31"/>
  <c r="H26"/>
  <c r="H31" s="1"/>
  <c r="F55" i="14"/>
  <c r="G53"/>
  <c r="G55" s="1"/>
  <c r="O69" s="1"/>
  <c r="B9" i="6" s="1"/>
  <c r="B12" s="1"/>
  <c r="M53" i="14"/>
  <c r="M55" s="1"/>
  <c r="C23" i="48"/>
  <c r="C24"/>
  <c r="C27"/>
  <c r="C28"/>
  <c r="C25"/>
  <c r="C29"/>
  <c r="C26"/>
  <c r="F25"/>
  <c r="F31" s="1"/>
  <c r="F14"/>
  <c r="R13" i="14" l="1"/>
  <c r="R15" s="1"/>
  <c r="C22" i="48"/>
  <c r="Q14"/>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<sst xmlns="http://schemas.openxmlformats.org/spreadsheetml/2006/main" count="1976" uniqueCount="840">
  <si>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</si>
  <si>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</si>
  <si>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</si>
  <si>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</si>
  <si>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</si>
  <si>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</si>
  <si>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</si>
  <si>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</si>
  <si>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</si>
  <si>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</si>
  <si>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</si>
  <si>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</si>
  <si>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</si>
  <si>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</si>
  <si>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</si>
  <si>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</si>
  <si>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</si>
  <si>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</si>
  <si>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</si>
  <si>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</si>
  <si>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</si>
  <si>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</si>
  <si>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</si>
  <si>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</si>
  <si>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</si>
  <si>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</si>
  <si>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</si>
  <si>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</si>
  <si>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</si>
  <si>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</si>
  <si>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</si>
  <si>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</si>
  <si>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</si>
  <si>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</si>
  <si>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</si>
  <si>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</si>
  <si>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</si>
  <si>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</si>
  <si>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</si>
  <si>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</si>
  <si>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</si>
  <si>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</si>
  <si>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</si>
  <si>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</si>
  <si>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</si>
  <si>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</si>
  <si>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</si>
  <si>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</si>
  <si>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</si>
  <si>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</si>
  <si>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</si>
  <si>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</si>
  <si>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</si>
  <si>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</si>
  <si>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</si>
  <si>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</si>
  <si>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</si>
  <si>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</si>
  <si>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</si>
  <si>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</si>
  <si>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</si>
  <si>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</si>
  <si>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</si>
  <si>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</si>
  <si>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</si>
  <si>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</si>
  <si>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</si>
  <si>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</si>
  <si>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</si>
  <si>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</si>
  <si>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</si>
  <si>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</si>
  <si>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</si>
  <si>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</si>
  <si>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</si>
  <si>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</si>
  <si>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</si>
  <si>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</si>
  <si>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</si>
  <si>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</si>
  <si>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</si>
  <si>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</si>
  <si>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</si>
  <si>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</si>
  <si>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</si>
  <si>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</si>
  <si>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</si>
  <si>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</si>
  <si>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</si>
  <si>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</si>
  <si>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</si>
  <si>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</si>
  <si>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</si>
  <si>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</si>
  <si>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</si>
  <si>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</si>
  <si>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</si>
  <si>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</si>
  <si>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</si>
  <si>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</si>
  <si>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</si>
  <si>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</si>
  <si>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</si>
  <si>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</si>
  <si>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</si>
  <si>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</si>
  <si>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</si>
  <si>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</si>
  <si>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</si>
  <si>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</si>
  <si>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</si>
  <si>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</si>
  <si>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</si>
  <si>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</si>
  <si>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</si>
  <si>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</si>
  <si>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</si>
  <si>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</si>
  <si>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</si>
  <si>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</si>
  <si>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</si>
  <si>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</si>
  <si>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</si>
  <si>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</si>
  <si>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</si>
  <si>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</si>
  <si>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</si>
  <si>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</si>
  <si>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</si>
  <si>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</si>
  <si>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</si>
  <si>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</si>
  <si>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</si>
  <si>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</si>
  <si>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</si>
  <si>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</si>
  <si>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</si>
  <si>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</si>
  <si>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</si>
  <si>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</si>
  <si>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</si>
  <si>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</si>
  <si>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</si>
  <si>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</si>
  <si>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</si>
  <si>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</si>
  <si>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</si>
  <si>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</si>
  <si>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</si>
  <si>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</si>
  <si>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</si>
  <si>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</si>
  <si>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</si>
  <si>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</si>
  <si>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</si>
  <si>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</si>
  <si>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</si>
  <si>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</si>
  <si>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</si>
  <si>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</si>
  <si>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</si>
  <si>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</si>
  <si>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</si>
  <si>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</si>
  <si>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</si>
  <si>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</si>
  <si>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</si>
  <si>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</si>
  <si>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</si>
  <si>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</si>
  <si>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</si>
  <si>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</si>
  <si>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</si>
  <si>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</si>
  <si>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</si>
  <si>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</si>
  <si>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</si>
  <si>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</si>
  <si>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</si>
  <si>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</si>
  <si>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</si>
  <si>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</si>
  <si>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</si>
  <si>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</si>
  <si>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</si>
  <si>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</si>
  <si>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</si>
  <si>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</si>
  <si>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</si>
  <si>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</si>
  <si>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</si>
  <si>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</si>
  <si>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</si>
  <si>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</si>
  <si>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</si>
  <si>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</si>
  <si>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</si>
  <si>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</si>
  <si>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</si>
  <si>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</si>
  <si>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</si>
  <si>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</si>
  <si>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</si>
  <si>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</si>
  <si>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</si>
  <si>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</si>
  <si>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</si>
  <si>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</si>
  <si>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</si>
  <si>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</si>
  <si>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</si>
  <si>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</si>
  <si>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</si>
  <si>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</si>
  <si>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</si>
  <si>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</si>
  <si>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</si>
  <si>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</si>
  <si>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</si>
  <si>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</si>
  <si>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</si>
  <si>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</si>
  <si>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</si>
  <si>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</si>
  <si>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</si>
  <si>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</si>
  <si>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</si>
  <si>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</si>
  <si>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</si>
  <si>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</si>
  <si>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</si>
  <si>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</si>
  <si>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</si>
  <si>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</si>
  <si>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</si>
  <si>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</si>
  <si>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</si>
  <si>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</si>
  <si>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</si>
  <si>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</si>
  <si>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</si>
  <si>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</si>
  <si>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</si>
  <si>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</si>
  <si>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</si>
  <si>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</si>
  <si>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</si>
  <si>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</si>
  <si>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</si>
  <si>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</si>
  <si>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</si>
  <si>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</si>
  <si>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</si>
  <si>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</si>
  <si>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</si>
  <si>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</si>
  <si>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</si>
  <si>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</si>
  <si>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</si>
  <si>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</si>
  <si>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</si>
  <si>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</si>
  <si>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</si>
  <si>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</si>
  <si>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</si>
  <si>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</si>
  <si>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</si>
  <si>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</si>
  <si>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</si>
  <si>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</si>
  <si>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</si>
  <si>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</si>
  <si>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</si>
  <si>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</si>
  <si>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</si>
  <si>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</si>
  <si>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</si>
  <si>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</si>
  <si>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</si>
  <si>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</si>
  <si>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</si>
  <si>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</si>
  <si>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</si>
  <si>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</si>
  <si>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</si>
  <si>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</si>
  <si>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</si>
  <si>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</si>
  <si>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</si>
  <si>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</si>
  <si>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</si>
  <si>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</si>
  <si>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</si>
  <si>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</si>
  <si>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</si>
  <si>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</si>
  <si>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</si>
  <si>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</si>
  <si>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</si>
  <si>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</si>
  <si>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</si>
  <si>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</si>
  <si>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</si>
  <si>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</si>
  <si>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</si>
  <si>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</si>
  <si>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</si>
  <si>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</si>
  <si>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</si>
  <si>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</si>
  <si>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</si>
  <si>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</si>
  <si>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</si>
  <si>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</si>
  <si>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</si>
  <si>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</si>
  <si>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</si>
  <si>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</si>
  <si>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</si>
  <si>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</si>
  <si>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</si>
  <si>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</si>
  <si>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</si>
  <si>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</si>
  <si>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</si>
  <si>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</si>
  <si>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</si>
  <si>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</si>
  <si>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</si>
  <si>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</si>
  <si>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</si>
  <si>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</si>
  <si>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</si>
  <si>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</si>
  <si>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</si>
  <si>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</si>
  <si>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</si>
  <si>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</si>
  <si>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</si>
  <si>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</si>
  <si>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</si>
  <si>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</si>
  <si>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</si>
  <si>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</si>
  <si>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</si>
  <si>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</si>
  <si>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</si>
  <si>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</si>
  <si>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</si>
  <si>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</si>
  <si>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</si>
  <si>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</si>
  <si>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</si>
  <si>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</si>
  <si>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</si>
  <si>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</si>
  <si>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</si>
  <si>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</si>
  <si>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</si>
  <si>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</si>
  <si>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</si>
  <si>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</si>
  <si>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</si>
  <si>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</si>
  <si>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</si>
  <si>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</si>
  <si>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</si>
  <si>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</si>
  <si>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</si>
  <si>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</si>
  <si>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</si>
  <si>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</si>
  <si>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</si>
  <si>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</si>
  <si>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</si>
  <si>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</si>
  <si>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</si>
  <si>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</si>
  <si>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</si>
  <si>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</si>
  <si>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</si>
  <si>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</si>
  <si>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</si>
  <si>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</si>
  <si>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</si>
  <si>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</si>
  <si>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</si>
  <si>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</si>
  <si>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</si>
  <si>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</si>
  <si>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</si>
  <si>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</si>
  <si>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</si>
  <si>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</si>
  <si>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</si>
  <si>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</si>
  <si>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</si>
  <si>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</si>
  <si>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</si>
  <si>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</si>
  <si>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</si>
  <si>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</si>
  <si>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</si>
  <si>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</si>
  <si>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</si>
  <si>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</si>
  <si>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</si>
  <si>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</si>
  <si>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</si>
  <si>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</si>
  <si>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</si>
  <si>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</si>
  <si>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</si>
  <si>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</si>
  <si>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</si>
  <si>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</si>
  <si>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</si>
  <si>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</si>
  <si>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</si>
  <si>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</si>
  <si>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</si>
  <si>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</si>
  <si>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</si>
  <si>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</si>
  <si>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</si>
  <si>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</si>
  <si>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</si>
  <si>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</si>
  <si>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</si>
  <si>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</si>
  <si>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</si>
  <si>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</si>
  <si>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</si>
  <si>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</si>
  <si>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</si>
  <si>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</si>
  <si>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</si>
  <si>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</si>
  <si>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</si>
  <si>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</si>
  <si>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</si>
  <si>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</si>
  <si>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</si>
  <si>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</si>
  <si>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</si>
  <si>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</si>
  <si>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</si>
  <si>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</si>
  <si>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</si>
  <si>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</si>
  <si>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</si>
  <si>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</si>
  <si>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</si>
  <si>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</si>
  <si>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</si>
  <si>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</si>
  <si>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</si>
  <si>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</si>
  <si>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</si>
  <si>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</si>
  <si>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</si>
  <si>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</si>
  <si>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</si>
  <si>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</si>
  <si>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</si>
  <si>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</si>
  <si>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</si>
  <si>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</si>
  <si>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</si>
  <si>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</si>
  <si>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</si>
  <si>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</si>
  <si>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</si>
  <si>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</si>
  <si>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</si>
  <si>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</si>
  <si>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</si>
  <si>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</si>
  <si>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</si>
  <si>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</si>
  <si>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</si>
  <si>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</si>
  <si>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</si>
  <si>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</si>
  <si>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</si>
  <si>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</si>
  <si>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</si>
  <si>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</si>
  <si>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</si>
  <si>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</si>
  <si>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</si>
  <si>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</si>
  <si>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</si>
  <si>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</si>
  <si>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</si>
  <si>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</si>
  <si>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</si>
  <si>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</si>
  <si>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</si>
  <si>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</si>
  <si>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</si>
  <si>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</si>
  <si>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</si>
  <si>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</si>
  <si>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</si>
  <si>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</si>
  <si>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</si>
  <si>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</si>
  <si>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</si>
  <si>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</si>
  <si>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</si>
  <si>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</si>
  <si>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</si>
  <si>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</si>
  <si>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</si>
  <si>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</si>
  <si>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</si>
  <si>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</si>
  <si>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</si>
  <si>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</si>
  <si>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</si>
  <si>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</si>
  <si>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</si>
  <si>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</si>
  <si>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</si>
  <si>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</si>
  <si>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</si>
  <si>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</si>
  <si>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</si>
  <si>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</si>
  <si>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</si>
  <si>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</si>
  <si>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</si>
  <si>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</si>
  <si>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</si>
  <si>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</si>
  <si>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</si>
  <si>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</si>
  <si>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</si>
  <si>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</si>
  <si>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</si>
  <si>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</si>
  <si>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</si>
  <si>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</si>
  <si>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</si>
  <si>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</si>
  <si>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</si>
  <si>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</si>
  <si>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</si>
  <si>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</si>
  <si>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</si>
  <si>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</si>
  <si>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</si>
  <si>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</si>
  <si>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</si>
  <si>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</si>
  <si>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</si>
  <si>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</si>
  <si>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</si>
  <si>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</si>
  <si>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</si>
  <si>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</si>
  <si>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</si>
  <si>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</si>
  <si>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</si>
  <si>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</si>
  <si>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</si>
  <si>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</si>
  <si>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</si>
  <si>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</si>
  <si>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</si>
  <si>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</si>
  <si>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</si>
  <si>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</si>
  <si>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</si>
  <si>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</si>
  <si>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</si>
  <si>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</si>
  <si>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</si>
  <si>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</si>
  <si>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</si>
  <si>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</si>
  <si>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</si>
  <si>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</si>
  <si>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</si>
  <si>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</si>
  <si>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</si>
  <si>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</si>
  <si>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</si>
  <si>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</si>
  <si>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</si>
  <si>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</si>
  <si>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</si>
  <si>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</si>
  <si>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</si>
  <si>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</si>
  <si>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</si>
  <si>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</si>
  <si>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</si>
  <si>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</si>
  <si>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</si>
  <si>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</si>
  <si>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</si>
  <si>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</si>
  <si>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</si>
  <si>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</si>
  <si>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</si>
  <si>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</si>
  <si>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</si>
  <si>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</si>
  <si>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</si>
  <si>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</si>
  <si>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</si>
  <si>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</si>
  <si>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</si>
  <si>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</si>
  <si>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</si>
  <si>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</si>
  <si>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</si>
  <si>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</si>
  <si>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</si>
  <si>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</si>
  <si>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</si>
  <si>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</si>
  <si>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</si>
  <si>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</si>
  <si>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</si>
  <si>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</si>
  <si>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</si>
  <si>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</si>
  <si>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</si>
  <si>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</si>
  <si>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</si>
  <si>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</si>
  <si>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</si>
  <si>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</si>
  <si>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</si>
  <si>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</si>
  <si>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</si>
  <si>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</si>
  <si>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</si>
  <si>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</si>
  <si>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</si>
  <si>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</si>
  <si>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</si>
  <si>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</si>
  <si>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</si>
  <si>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</si>
  <si>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</si>
  <si>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</si>
  <si>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</si>
  <si>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</si>
  <si>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</si>
  <si>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</si>
  <si>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</si>
  <si>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</si>
  <si>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</si>
  <si>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</si>
  <si>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</si>
  <si>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</si>
  <si>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</si>
  <si>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</si>
  <si>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</si>
  <si>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</si>
  <si>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</si>
  <si>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</si>
  <si>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</si>
  <si>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</si>
  <si>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</si>
  <si>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</si>
  <si>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</si>
  <si>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</si>
  <si>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</si>
  <si>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</si>
  <si>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</si>
  <si>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</si>
  <si>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</si>
  <si>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</si>
  <si>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</si>
  <si>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</si>
  <si>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</si>
  <si>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</si>
  <si>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</si>
  <si>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</si>
  <si>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</si>
  <si>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</si>
  <si>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</si>
  <si>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</si>
  <si>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</si>
  <si>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</si>
  <si>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</si>
  <si>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</si>
  <si>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</si>
  <si>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</si>
  <si>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</si>
  <si>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</si>
  <si>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</si>
  <si>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</si>
  <si>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</si>
  <si>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</si>
  <si>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</si>
  <si>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</si>
  <si>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</si>
  <si>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</si>
  <si>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</si>
  <si>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</si>
  <si>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</si>
  <si>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</si>
  <si>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</si>
  <si>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</si>
  <si>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</si>
  <si>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</si>
  <si>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</si>
  <si>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</si>
  <si>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</si>
  <si>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</si>
  <si>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</si>
  <si>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</si>
  <si>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</si>
  <si>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</si>
  <si>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</si>
  <si>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</si>
  <si>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</si>
  <si>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</si>
  <si>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</si>
  <si>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</si>
  <si>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</si>
  <si>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</si>
  <si>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</si>
  <si>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</si>
  <si>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</si>
  <si>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</si>
  <si>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</si>
  <si>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</si>
  <si>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</si>
  <si>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</si>
  <si>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</si>
  <si>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</si>
  <si>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</si>
  <si>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</si>
  <si>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</si>
  <si>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</si>
  <si>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</si>
  <si>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</si>
  <si>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</si>
  <si>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</si>
  <si>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</si>
  <si>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</si>
  <si>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</si>
  <si>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</si>
  <si>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</si>
  <si>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</si>
  <si>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</si>
  <si>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</si>
  <si>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</si>
  <si>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</si>
  <si>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</si>
  <si>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</si>
  <si>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</si>
  <si>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</si>
  <si>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</si>
  <si>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</si>
  <si>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</si>
  <si>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</si>
  <si>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</si>
  <si>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</si>
  <si>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</si>
  <si>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</si>
  <si>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</si>
  <si>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</si>
  <si>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</si>
  <si>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</si>
  <si>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</si>
  <si>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</si>
  <si>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</si>
  <si>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</si>
  <si>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</si>
  <si>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</si>
  <si>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</si>
  <si>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</si>
  <si>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</si>
  <si>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</si>
  <si>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</si>
  <si>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</si>
  <si>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</si>
  <si>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</si>
  <si>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</si>
  <si>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</si>
  <si>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</si>
  <si>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</si>
  <si>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</si>
  <si>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</si>
  <si>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</si>
  <si>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</si>
  <si>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</si>
  <si>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</si>
  <si>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</si>
  <si>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</si>
  <si>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</si>
  <si>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</si>
  <si>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</si>
  <si>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</si>
  <si>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</si>
  <si>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</si>
  <si>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</si>
  <si>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</si>
  <si>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</si>
  <si>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</si>
  <si>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</si>
  <si>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</si>
  <si>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72004</t>
  </si>
  <si>
    <t>BREE</t>
  </si>
  <si>
    <t>Paarden&amp;pony's 200 - 600 kg</t>
  </si>
  <si>
    <t>Paarden&amp;pony's &lt; 200 kg</t>
  </si>
  <si>
    <t>referentietaak LNE (2017); Jaarverslag De Lijn (2015)</t>
  </si>
  <si>
    <t>op basis van VEA (maart 2018) en Inventaris Hernieuwbare Energiebronnen (juni 2018)</t>
  </si>
  <si>
    <t>VEA (januari 2017)</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</si>
  <si>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</si>
  <si>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</si>
  <si>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</si>
  <si>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</si>
  <si>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</si>
  <si>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</si>
  <si>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</si>
  <si>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</si>
  <si>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</si>
  <si>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</si>
  <si>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</si>
  <si>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</si>
  <si>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</si>
  <si>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</si>
  <si>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</si>
  <si>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</si>
  <si>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</si>
  <si>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</si>
  <si>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</si>
  <si>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</si>
  <si>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</si>
  <si>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</si>
  <si>
    <t>WKK-0746 Biogas Bree II</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</si>
</sst>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128982.05964116991</c:v>
                </c:pt>
                <c:pt idx="1">
                  <c:v>65629.442973463258</c:v>
                </c:pt>
                <c:pt idx="2">
                  <c:v>1190.0419999999999</c:v>
                </c:pt>
                <c:pt idx="3">
                  <c:v>47201.407130466956</c:v>
                </c:pt>
                <c:pt idx="4">
                  <c:v>177771.38240722762</c:v>
                </c:pt>
                <c:pt idx="5">
                  <c:v>96748.262571499392</c:v>
                </c:pt>
                <c:pt idx="6">
                  <c:v>2202.6772493551616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128982.05964116991</c:v>
                </c:pt>
                <c:pt idx="1">
                  <c:v>65629.442973463258</c:v>
                </c:pt>
                <c:pt idx="2">
                  <c:v>1190.0419999999999</c:v>
                </c:pt>
                <c:pt idx="3">
                  <c:v>47201.407130466956</c:v>
                </c:pt>
                <c:pt idx="4">
                  <c:v>177771.38240722762</c:v>
                </c:pt>
                <c:pt idx="5">
                  <c:v>96748.262571499392</c:v>
                </c:pt>
                <c:pt idx="6">
                  <c:v>2202.6772493551616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24978.056203258249</c:v>
                </c:pt>
                <c:pt idx="1">
                  <c:v>12082.627425150426</c:v>
                </c:pt>
                <c:pt idx="2">
                  <c:v>209.25694405693778</c:v>
                </c:pt>
                <c:pt idx="3">
                  <c:v>7715.6468479923424</c:v>
                </c:pt>
                <c:pt idx="4">
                  <c:v>33522.416325942286</c:v>
                </c:pt>
                <c:pt idx="5">
                  <c:v>24749.700822026705</c:v>
                </c:pt>
                <c:pt idx="6">
                  <c:v>570.42162297032633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75296"/>
      </c:barChart>
      <c:catAx>
        <c:axId val="183421952"/>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24978.056203258249</c:v>
                </c:pt>
                <c:pt idx="1">
                  <c:v>12082.627425150426</c:v>
                </c:pt>
                <c:pt idx="2">
                  <c:v>209.25694405693778</c:v>
                </c:pt>
                <c:pt idx="3">
                  <c:v>7715.6468479923424</c:v>
                </c:pt>
                <c:pt idx="4">
                  <c:v>33522.416325942286</c:v>
                </c:pt>
                <c:pt idx="5">
                  <c:v>24749.700822026705</c:v>
                </c:pt>
                <c:pt idx="6">
                  <c:v>570.42162297032633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72004</v>
      </c>
      <c r="B6" s="415"/>
      <c r="C6" s="416"/>
    </row>
    <row r="7" spans="1:7" s="413" customFormat="1" ht="15.75" customHeight="1">
      <c r="A7" s="417" t="str">
        <f>txtMunicipality</f>
        <v>BREE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6524</v>
      </c>
      <c r="C9" s="342">
        <v>6685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4104.49</v>
      </c>
    </row>
    <row r="15" spans="1:6">
      <c r="A15" s="348" t="s">
        <v>184</v>
      </c>
      <c r="B15" s="334">
        <v>1958</v>
      </c>
    </row>
    <row r="16" spans="1:6">
      <c r="A16" s="348" t="s">
        <v>6</v>
      </c>
      <c r="B16" s="334">
        <v>4191</v>
      </c>
    </row>
    <row r="17" spans="1:6">
      <c r="A17" s="348" t="s">
        <v>7</v>
      </c>
      <c r="B17" s="334">
        <v>261</v>
      </c>
    </row>
    <row r="18" spans="1:6">
      <c r="A18" s="348" t="s">
        <v>8</v>
      </c>
      <c r="B18" s="334">
        <v>2325</v>
      </c>
    </row>
    <row r="19" spans="1:6">
      <c r="A19" s="348" t="s">
        <v>9</v>
      </c>
      <c r="B19" s="334">
        <v>2365</v>
      </c>
    </row>
    <row r="20" spans="1:6">
      <c r="A20" s="348" t="s">
        <v>10</v>
      </c>
      <c r="B20" s="334">
        <v>1079</v>
      </c>
    </row>
    <row r="21" spans="1:6">
      <c r="A21" s="348" t="s">
        <v>11</v>
      </c>
      <c r="B21" s="334">
        <v>9547</v>
      </c>
    </row>
    <row r="22" spans="1:6">
      <c r="A22" s="348" t="s">
        <v>12</v>
      </c>
      <c r="B22" s="334">
        <v>29079</v>
      </c>
    </row>
    <row r="23" spans="1:6">
      <c r="A23" s="348" t="s">
        <v>13</v>
      </c>
      <c r="B23" s="334">
        <v>299</v>
      </c>
    </row>
    <row r="24" spans="1:6">
      <c r="A24" s="348" t="s">
        <v>14</v>
      </c>
      <c r="B24" s="334">
        <v>26</v>
      </c>
    </row>
    <row r="25" spans="1:6">
      <c r="A25" s="348" t="s">
        <v>15</v>
      </c>
      <c r="B25" s="334">
        <v>2777</v>
      </c>
    </row>
    <row r="26" spans="1:6">
      <c r="A26" s="348" t="s">
        <v>16</v>
      </c>
      <c r="B26" s="334">
        <v>179</v>
      </c>
    </row>
    <row r="27" spans="1:6">
      <c r="A27" s="348" t="s">
        <v>17</v>
      </c>
      <c r="B27" s="334">
        <v>4</v>
      </c>
    </row>
    <row r="28" spans="1:6" s="356" customFormat="1">
      <c r="A28" s="355" t="s">
        <v>18</v>
      </c>
      <c r="B28" s="355">
        <v>222936</v>
      </c>
    </row>
    <row r="29" spans="1:6">
      <c r="A29" s="355" t="s">
        <v>812</v>
      </c>
      <c r="B29" s="355">
        <v>286</v>
      </c>
      <c r="C29" s="356"/>
      <c r="D29" s="356"/>
      <c r="E29" s="356"/>
      <c r="F29" s="356"/>
    </row>
    <row r="30" spans="1:6">
      <c r="A30" s="355" t="s">
        <v>813</v>
      </c>
      <c r="B30" s="341">
        <v>80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42</v>
      </c>
      <c r="F36" s="334">
        <v>58563</v>
      </c>
    </row>
    <row r="37" spans="1:6">
      <c r="A37" s="348" t="s">
        <v>25</v>
      </c>
      <c r="B37" s="348" t="s">
        <v>28</v>
      </c>
      <c r="C37" s="334">
        <v>0</v>
      </c>
      <c r="D37" s="334">
        <v>0</v>
      </c>
      <c r="E37" s="334">
        <v>0</v>
      </c>
      <c r="F37" s="334">
        <v>0</v>
      </c>
    </row>
    <row r="38" spans="1:6">
      <c r="A38" s="348" t="s">
        <v>25</v>
      </c>
      <c r="B38" s="348" t="s">
        <v>29</v>
      </c>
      <c r="C38" s="334">
        <v>0</v>
      </c>
      <c r="D38" s="334">
        <v>0</v>
      </c>
      <c r="E38" s="334">
        <v>0</v>
      </c>
      <c r="F38" s="334">
        <v>25177</v>
      </c>
    </row>
    <row r="39" spans="1:6">
      <c r="A39" s="348" t="s">
        <v>30</v>
      </c>
      <c r="B39" s="348" t="s">
        <v>31</v>
      </c>
      <c r="C39" s="334">
        <v>3404</v>
      </c>
      <c r="D39" s="334">
        <v>47128919</v>
      </c>
      <c r="E39" s="334">
        <v>6639</v>
      </c>
      <c r="F39" s="334">
        <v>22682061</v>
      </c>
    </row>
    <row r="40" spans="1:6">
      <c r="A40" s="348" t="s">
        <v>30</v>
      </c>
      <c r="B40" s="348" t="s">
        <v>29</v>
      </c>
      <c r="C40" s="334">
        <v>0</v>
      </c>
      <c r="D40" s="334">
        <v>0</v>
      </c>
      <c r="E40" s="334">
        <v>0</v>
      </c>
      <c r="F40" s="334">
        <v>0</v>
      </c>
    </row>
    <row r="41" spans="1:6">
      <c r="A41" s="348" t="s">
        <v>32</v>
      </c>
      <c r="B41" s="348" t="s">
        <v>33</v>
      </c>
      <c r="C41" s="334">
        <v>57</v>
      </c>
      <c r="D41" s="334">
        <v>1505160</v>
      </c>
      <c r="E41" s="334">
        <v>158</v>
      </c>
      <c r="F41" s="334">
        <v>2140201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4119190</v>
      </c>
      <c r="E44" s="334">
        <v>36</v>
      </c>
      <c r="F44" s="334">
        <v>8670996</v>
      </c>
    </row>
    <row r="45" spans="1:6">
      <c r="A45" s="348" t="s">
        <v>32</v>
      </c>
      <c r="B45" s="348" t="s">
        <v>37</v>
      </c>
      <c r="C45" s="334">
        <v>4</v>
      </c>
      <c r="D45" s="334">
        <v>71021</v>
      </c>
      <c r="E45" s="334">
        <v>13</v>
      </c>
      <c r="F45" s="334">
        <v>359726</v>
      </c>
    </row>
    <row r="46" spans="1:6">
      <c r="A46" s="348" t="s">
        <v>32</v>
      </c>
      <c r="B46" s="348" t="s">
        <v>38</v>
      </c>
      <c r="C46" s="334">
        <v>0</v>
      </c>
      <c r="D46" s="334">
        <v>0</v>
      </c>
      <c r="E46" s="334">
        <v>0</v>
      </c>
      <c r="F46" s="334">
        <v>0</v>
      </c>
    </row>
    <row r="47" spans="1:6">
      <c r="A47" s="348" t="s">
        <v>32</v>
      </c>
      <c r="B47" s="348" t="s">
        <v>39</v>
      </c>
      <c r="C47" s="334">
        <v>9</v>
      </c>
      <c r="D47" s="334">
        <v>231407</v>
      </c>
      <c r="E47" s="334">
        <v>10</v>
      </c>
      <c r="F47" s="334">
        <v>111046</v>
      </c>
    </row>
    <row r="48" spans="1:6">
      <c r="A48" s="348" t="s">
        <v>32</v>
      </c>
      <c r="B48" s="348" t="s">
        <v>29</v>
      </c>
      <c r="C48" s="334">
        <v>0</v>
      </c>
      <c r="D48" s="334">
        <v>8763</v>
      </c>
      <c r="E48" s="334">
        <v>3</v>
      </c>
      <c r="F48" s="334">
        <v>62824</v>
      </c>
    </row>
    <row r="49" spans="1:6">
      <c r="A49" s="348" t="s">
        <v>32</v>
      </c>
      <c r="B49" s="348" t="s">
        <v>40</v>
      </c>
      <c r="C49" s="334">
        <v>3</v>
      </c>
      <c r="D49" s="334">
        <v>1506833</v>
      </c>
      <c r="E49" s="334">
        <v>3</v>
      </c>
      <c r="F49" s="334">
        <v>466704</v>
      </c>
    </row>
    <row r="50" spans="1:6">
      <c r="A50" s="348" t="s">
        <v>32</v>
      </c>
      <c r="B50" s="348" t="s">
        <v>41</v>
      </c>
      <c r="C50" s="334">
        <v>7</v>
      </c>
      <c r="D50" s="334">
        <v>121777290</v>
      </c>
      <c r="E50" s="334">
        <v>20</v>
      </c>
      <c r="F50" s="334">
        <v>25496497</v>
      </c>
    </row>
    <row r="51" spans="1:6">
      <c r="A51" s="348" t="s">
        <v>42</v>
      </c>
      <c r="B51" s="348" t="s">
        <v>43</v>
      </c>
      <c r="C51" s="334">
        <v>9</v>
      </c>
      <c r="D51" s="334">
        <v>5386475</v>
      </c>
      <c r="E51" s="334">
        <v>143</v>
      </c>
      <c r="F51" s="334">
        <v>5553101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98</v>
      </c>
      <c r="F54" s="334">
        <v>1190042</v>
      </c>
    </row>
    <row r="55" spans="1:6">
      <c r="A55" s="348" t="s">
        <v>46</v>
      </c>
      <c r="B55" s="348" t="s">
        <v>29</v>
      </c>
      <c r="C55" s="334">
        <v>0</v>
      </c>
      <c r="D55" s="334">
        <v>0</v>
      </c>
      <c r="E55" s="334">
        <v>0</v>
      </c>
      <c r="F55" s="334">
        <v>0</v>
      </c>
    </row>
    <row r="56" spans="1:6">
      <c r="A56" s="348" t="s">
        <v>48</v>
      </c>
      <c r="B56" s="348" t="s">
        <v>29</v>
      </c>
      <c r="C56" s="334">
        <v>53</v>
      </c>
      <c r="D56" s="334">
        <v>726120</v>
      </c>
      <c r="E56" s="334">
        <v>148</v>
      </c>
      <c r="F56" s="334">
        <v>487290</v>
      </c>
    </row>
    <row r="57" spans="1:6">
      <c r="A57" s="348" t="s">
        <v>49</v>
      </c>
      <c r="B57" s="348" t="s">
        <v>50</v>
      </c>
      <c r="C57" s="334">
        <v>34</v>
      </c>
      <c r="D57" s="334">
        <v>1999736</v>
      </c>
      <c r="E57" s="334">
        <v>87</v>
      </c>
      <c r="F57" s="334">
        <v>5000715</v>
      </c>
    </row>
    <row r="58" spans="1:6">
      <c r="A58" s="348" t="s">
        <v>49</v>
      </c>
      <c r="B58" s="348" t="s">
        <v>51</v>
      </c>
      <c r="C58" s="334">
        <v>30</v>
      </c>
      <c r="D58" s="334">
        <v>4053320</v>
      </c>
      <c r="E58" s="334">
        <v>57</v>
      </c>
      <c r="F58" s="334">
        <v>1934127</v>
      </c>
    </row>
    <row r="59" spans="1:6">
      <c r="A59" s="348" t="s">
        <v>49</v>
      </c>
      <c r="B59" s="348" t="s">
        <v>52</v>
      </c>
      <c r="C59" s="334">
        <v>101</v>
      </c>
      <c r="D59" s="334">
        <v>5119203</v>
      </c>
      <c r="E59" s="334">
        <v>255</v>
      </c>
      <c r="F59" s="334">
        <v>13402578</v>
      </c>
    </row>
    <row r="60" spans="1:6">
      <c r="A60" s="348" t="s">
        <v>49</v>
      </c>
      <c r="B60" s="348" t="s">
        <v>53</v>
      </c>
      <c r="C60" s="334">
        <v>54</v>
      </c>
      <c r="D60" s="334">
        <v>2784227</v>
      </c>
      <c r="E60" s="334">
        <v>86</v>
      </c>
      <c r="F60" s="334">
        <v>2292157</v>
      </c>
    </row>
    <row r="61" spans="1:6">
      <c r="A61" s="348" t="s">
        <v>49</v>
      </c>
      <c r="B61" s="348" t="s">
        <v>54</v>
      </c>
      <c r="C61" s="334">
        <v>132</v>
      </c>
      <c r="D61" s="334">
        <v>6815506</v>
      </c>
      <c r="E61" s="334">
        <v>365</v>
      </c>
      <c r="F61" s="334">
        <v>9420476</v>
      </c>
    </row>
    <row r="62" spans="1:6">
      <c r="A62" s="348" t="s">
        <v>49</v>
      </c>
      <c r="B62" s="348" t="s">
        <v>55</v>
      </c>
      <c r="C62" s="334">
        <v>12</v>
      </c>
      <c r="D62" s="334">
        <v>1784056</v>
      </c>
      <c r="E62" s="334">
        <v>19</v>
      </c>
      <c r="F62" s="334">
        <v>709147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252778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175100</v>
      </c>
      <c r="E68" s="334">
        <v>8</v>
      </c>
      <c r="F68" s="334">
        <v>141219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94524235</v>
      </c>
      <c r="E73" s="476">
        <v>96599660.373132348</v>
      </c>
    </row>
    <row r="74" spans="1:6">
      <c r="A74" s="348" t="s">
        <v>64</v>
      </c>
      <c r="B74" s="348" t="s">
        <v>667</v>
      </c>
      <c r="C74" s="1212" t="s">
        <v>669</v>
      </c>
      <c r="D74" s="476">
        <v>8612016.4600579068</v>
      </c>
      <c r="E74" s="476">
        <v>8769999.2685773913</v>
      </c>
    </row>
    <row r="75" spans="1:6">
      <c r="A75" s="348" t="s">
        <v>65</v>
      </c>
      <c r="B75" s="348" t="s">
        <v>666</v>
      </c>
      <c r="C75" s="1212" t="s">
        <v>670</v>
      </c>
      <c r="D75" s="476">
        <v>18480891</v>
      </c>
      <c r="E75" s="476">
        <v>18964430.4909181</v>
      </c>
    </row>
    <row r="76" spans="1:6">
      <c r="A76" s="348" t="s">
        <v>65</v>
      </c>
      <c r="B76" s="348" t="s">
        <v>667</v>
      </c>
      <c r="C76" s="1212" t="s">
        <v>671</v>
      </c>
      <c r="D76" s="476">
        <v>344679.46005790599</v>
      </c>
      <c r="E76" s="476">
        <v>359769.22435229248</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591609.07988418802</v>
      </c>
      <c r="C83" s="476">
        <v>591609.07988418802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5396.5618343874085</v>
      </c>
    </row>
    <row r="92" spans="1:6">
      <c r="A92" s="341" t="s">
        <v>69</v>
      </c>
      <c r="B92" s="342">
        <v>5176.5618078655261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913</v>
      </c>
    </row>
    <row r="98" spans="1:6">
      <c r="A98" s="348" t="s">
        <v>72</v>
      </c>
      <c r="B98" s="334">
        <v>1</v>
      </c>
    </row>
    <row r="99" spans="1:6">
      <c r="A99" s="348" t="s">
        <v>73</v>
      </c>
      <c r="B99" s="334">
        <v>40</v>
      </c>
    </row>
    <row r="100" spans="1:6">
      <c r="A100" s="348" t="s">
        <v>74</v>
      </c>
      <c r="B100" s="334">
        <v>210</v>
      </c>
    </row>
    <row r="101" spans="1:6">
      <c r="A101" s="348" t="s">
        <v>75</v>
      </c>
      <c r="B101" s="334">
        <v>42</v>
      </c>
    </row>
    <row r="102" spans="1:6">
      <c r="A102" s="348" t="s">
        <v>76</v>
      </c>
      <c r="B102" s="334">
        <v>57</v>
      </c>
    </row>
    <row r="103" spans="1:6">
      <c r="A103" s="348" t="s">
        <v>77</v>
      </c>
      <c r="B103" s="334">
        <v>93</v>
      </c>
    </row>
    <row r="104" spans="1:6">
      <c r="A104" s="348" t="s">
        <v>78</v>
      </c>
      <c r="B104" s="334">
        <v>3845</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38</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178</v>
      </c>
    </row>
    <row r="130" spans="1:6">
      <c r="A130" s="348" t="s">
        <v>295</v>
      </c>
      <c r="B130" s="334">
        <v>3</v>
      </c>
    </row>
    <row r="131" spans="1:6">
      <c r="A131" s="348" t="s">
        <v>296</v>
      </c>
      <c r="B131" s="334">
        <v>4</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104982.94091801577</v>
      </c>
      <c r="C3" s="43" t="s">
        <v>170</v>
      </c>
      <c r="D3" s="43"/>
      <c r="E3" s="154"/>
      <c r="F3" s="43"/>
      <c r="G3" s="43"/>
      <c r="H3" s="43"/>
      <c r="I3" s="43"/>
      <c r="J3" s="43"/>
      <c r="K3" s="96"/>
    </row>
    <row r="4" spans="1:11">
      <c r="A4" s="383" t="s">
        <v>171</v>
      </c>
      <c r="B4" s="49">
        <f>IF(ISERROR('SEAP template'!B69),0,'SEAP template'!B69)</f>
        <v>21525.223642252935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16.041176470588237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0.17583996535999386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22.915966386554626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15645.857142857143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1.4646667278958591E-3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1190.0419999999999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1190.0419999999999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0.17583996535999386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209.25694405693778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22682.061000000002</v>
      </c>
      <c r="C5" s="17">
        <f>IF(ISERROR('Eigen informatie GS &amp; warmtenet'!B57),0,'Eigen informatie GS &amp; warmtenet'!B57)</f>
        <v>0</v>
      </c>
      <c r="D5" s="30">
        <f>(SUM(HH_hh_gas_kWh,HH_rest_gas_kWh)/1000)*0.902</f>
        <v>42510.284938000004</v>
      </c>
      <c r="E5" s="17">
        <f>B46*B57</f>
        <v>4557.3494730858802</v>
      </c>
      <c r="F5" s="17">
        <f>B51*B62</f>
        <v>39022.907299014005</v>
      </c>
      <c r="G5" s="18"/>
      <c r="H5" s="17"/>
      <c r="I5" s="17"/>
      <c r="J5" s="17">
        <f>B50*B61+C50*C61</f>
        <v>0</v>
      </c>
      <c r="K5" s="17"/>
      <c r="L5" s="17"/>
      <c r="M5" s="17"/>
      <c r="N5" s="17">
        <f>B48*B59+C48*C59</f>
        <v>13590.33176334929</v>
      </c>
      <c r="O5" s="17">
        <f>B69*B70*B71</f>
        <v>345.49666666666667</v>
      </c>
      <c r="P5" s="17">
        <f>B77*B78*B79/1000-B77*B78*B79/1000/B80</f>
        <v>877.06666666666661</v>
      </c>
    </row>
    <row r="6" spans="1:16">
      <c r="A6" s="16" t="s">
        <v>624</v>
      </c>
      <c r="B6" s="843">
        <f>kWh_PV_kleiner_dan_10kW</f>
        <v>5396.5618343874085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28078.62283438741</v>
      </c>
      <c r="C8" s="21">
        <f>C5</f>
        <v>0</v>
      </c>
      <c r="D8" s="21">
        <f>D5</f>
        <v>42510.284938000004</v>
      </c>
      <c r="E8" s="21">
        <f>E5</f>
        <v>4557.3494730858802</v>
      </c>
      <c r="F8" s="21">
        <f>F5</f>
        <v>39022.907299014005</v>
      </c>
      <c r="G8" s="21"/>
      <c r="H8" s="21"/>
      <c r="I8" s="21"/>
      <c r="J8" s="21">
        <f>J5</f>
        <v>0</v>
      </c>
      <c r="K8" s="21"/>
      <c r="L8" s="21">
        <f>L5</f>
        <v>0</v>
      </c>
      <c r="M8" s="21">
        <f>M5</f>
        <v>0</v>
      </c>
      <c r="N8" s="21">
        <f>N5</f>
        <v>13590.33176334929</v>
      </c>
      <c r="O8" s="21">
        <f>O5</f>
        <v>345.49666666666667</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0.17583996535999386</v>
      </c>
      <c r="C10" s="25">
        <f ca="1">'EF ele_warmte'!B22</f>
        <v>1.4646667278958591E-3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4937.3440665550143</v>
      </c>
      <c r="C12" s="23">
        <f ca="1">C10*C8</f>
        <v>0</v>
      </c>
      <c r="D12" s="23">
        <f>D8*D10</f>
        <v>8587.0775574760009</v>
      </c>
      <c r="E12" s="23">
        <f>E10*E8</f>
        <v>1034.5183303904948</v>
      </c>
      <c r="F12" s="23">
        <f>F10*F8</f>
        <v>10419.116248836739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913</v>
      </c>
      <c r="C18" s="166" t="s">
        <v>111</v>
      </c>
      <c r="D18" s="228"/>
      <c r="E18" s="15"/>
    </row>
    <row r="19" spans="1:7">
      <c r="A19" s="171" t="s">
        <v>72</v>
      </c>
      <c r="B19" s="37">
        <f>aantalw2001_ander</f>
        <v>1</v>
      </c>
      <c r="C19" s="166" t="s">
        <v>111</v>
      </c>
      <c r="D19" s="229"/>
      <c r="E19" s="15"/>
    </row>
    <row r="20" spans="1:7">
      <c r="A20" s="171" t="s">
        <v>73</v>
      </c>
      <c r="B20" s="37">
        <f>aantalw2001_propaan</f>
        <v>40</v>
      </c>
      <c r="C20" s="167">
        <f>IF(ISERROR(B20/SUM($B$20,$B$21,$B$22)*100),0,B20/SUM($B$20,$B$21,$B$22)*100)</f>
        <v>13.698630136986301</v>
      </c>
      <c r="D20" s="229"/>
      <c r="E20" s="15"/>
    </row>
    <row r="21" spans="1:7">
      <c r="A21" s="171" t="s">
        <v>74</v>
      </c>
      <c r="B21" s="37">
        <f>aantalw2001_elektriciteit</f>
        <v>210</v>
      </c>
      <c r="C21" s="167">
        <f>IF(ISERROR(B21/SUM($B$20,$B$21,$B$22)*100),0,B21/SUM($B$20,$B$21,$B$22)*100)</f>
        <v>71.917808219178085</v>
      </c>
      <c r="D21" s="229"/>
      <c r="E21" s="15"/>
    </row>
    <row r="22" spans="1:7">
      <c r="A22" s="171" t="s">
        <v>75</v>
      </c>
      <c r="B22" s="37">
        <f>aantalw2001_hout</f>
        <v>42</v>
      </c>
      <c r="C22" s="167">
        <f>IF(ISERROR(B22/SUM($B$20,$B$21,$B$22)*100),0,B22/SUM($B$20,$B$21,$B$22)*100)</f>
        <v>14.383561643835616</v>
      </c>
      <c r="D22" s="229"/>
      <c r="E22" s="15"/>
    </row>
    <row r="23" spans="1:7">
      <c r="A23" s="171" t="s">
        <v>76</v>
      </c>
      <c r="B23" s="37">
        <f>aantalw2001_niet_gespec</f>
        <v>57</v>
      </c>
      <c r="C23" s="166" t="s">
        <v>111</v>
      </c>
      <c r="D23" s="228"/>
      <c r="E23" s="15"/>
    </row>
    <row r="24" spans="1:7">
      <c r="A24" s="171" t="s">
        <v>77</v>
      </c>
      <c r="B24" s="37">
        <f>aantalw2001_steenkool</f>
        <v>93</v>
      </c>
      <c r="C24" s="166" t="s">
        <v>111</v>
      </c>
      <c r="D24" s="229"/>
      <c r="E24" s="15"/>
    </row>
    <row r="25" spans="1:7">
      <c r="A25" s="171" t="s">
        <v>78</v>
      </c>
      <c r="B25" s="37">
        <f>aantalw2001_stookolie</f>
        <v>3845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6524</v>
      </c>
      <c r="C28" s="36"/>
      <c r="D28" s="228"/>
    </row>
    <row r="29" spans="1:7" s="15" customFormat="1">
      <c r="A29" s="230" t="s">
        <v>699</v>
      </c>
      <c r="B29" s="37">
        <f>SUM(HH_hh_gas_aantal,HH_rest_gas_aantal)</f>
        <v>3404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3404</v>
      </c>
      <c r="C32" s="167">
        <f>IF(ISERROR(B32/SUM($B$32,$B$34,$B$35,$B$36,$B$38,$B$39)*100),0,B32/SUM($B$32,$B$34,$B$35,$B$36,$B$38,$B$39)*100)</f>
        <v>52.547082432849649</v>
      </c>
      <c r="D32" s="233"/>
      <c r="G32" s="15"/>
    </row>
    <row r="33" spans="1:7">
      <c r="A33" s="171" t="s">
        <v>72</v>
      </c>
      <c r="B33" s="34" t="s">
        <v>111</v>
      </c>
      <c r="C33" s="167"/>
      <c r="D33" s="233"/>
      <c r="G33" s="15"/>
    </row>
    <row r="34" spans="1:7">
      <c r="A34" s="171" t="s">
        <v>73</v>
      </c>
      <c r="B34" s="33">
        <f>IF((($B$28-$B$32-$B$39-$B$77-$B$38)*C20/100)&lt;0,0,($B$28-$B$32-$B$39-$B$77-$B$38)*C20/100)</f>
        <v>201.49315068493149</v>
      </c>
      <c r="C34" s="167">
        <f>IF(ISERROR(B34/SUM($B$32,$B$34,$B$35,$B$36,$B$38,$B$39)*100),0,B34/SUM($B$32,$B$34,$B$35,$B$36,$B$38,$B$39)*100)</f>
        <v>3.1104222087825173</v>
      </c>
      <c r="D34" s="233"/>
      <c r="G34" s="15"/>
    </row>
    <row r="35" spans="1:7">
      <c r="A35" s="171" t="s">
        <v>74</v>
      </c>
      <c r="B35" s="33">
        <f>IF((($B$28-$B$32-$B$39-$B$77-$B$38)*C21/100)&lt;0,0,($B$28-$B$32-$B$39-$B$77-$B$38)*C21/100)</f>
        <v>1057.8390410958905</v>
      </c>
      <c r="C35" s="167">
        <f>IF(ISERROR(B35/SUM($B$32,$B$34,$B$35,$B$36,$B$38,$B$39)*100),0,B35/SUM($B$32,$B$34,$B$35,$B$36,$B$38,$B$39)*100)</f>
        <v>16.32971659610822</v>
      </c>
      <c r="D35" s="233"/>
      <c r="G35" s="15"/>
    </row>
    <row r="36" spans="1:7">
      <c r="A36" s="171" t="s">
        <v>75</v>
      </c>
      <c r="B36" s="33">
        <f>IF((($B$28-$B$32-$B$39-$B$77-$B$38)*C22/100)&lt;0,0,($B$28-$B$32-$B$39-$B$77-$B$38)*C22/100)</f>
        <v>211.56780821917809</v>
      </c>
      <c r="C36" s="167">
        <f>IF(ISERROR(B36/SUM($B$32,$B$34,$B$35,$B$36,$B$38,$B$39)*100),0,B36/SUM($B$32,$B$34,$B$35,$B$36,$B$38,$B$39)*100)</f>
        <v>3.2659433192216438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1603.1</v>
      </c>
      <c r="C39" s="167">
        <f>IF(ISERROR(B39/SUM($B$32,$B$34,$B$35,$B$36,$B$38,$B$39)*100),0,B39/SUM($B$32,$B$34,$B$35,$B$36,$B$38,$B$39)*100)</f>
        <v>24.746835443037973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3404</v>
      </c>
      <c r="C44" s="34" t="s">
        <v>111</v>
      </c>
      <c r="D44" s="174"/>
    </row>
    <row r="45" spans="1:7">
      <c r="A45" s="171" t="s">
        <v>72</v>
      </c>
      <c r="B45" s="33" t="str">
        <f t="shared" si="0"/>
        <v>-</v>
      </c>
      <c r="C45" s="34" t="s">
        <v>111</v>
      </c>
      <c r="D45" s="174"/>
    </row>
    <row r="46" spans="1:7">
      <c r="A46" s="171" t="s">
        <v>73</v>
      </c>
      <c r="B46" s="33">
        <f t="shared" si="0"/>
        <v>201.49315068493149</v>
      </c>
      <c r="C46" s="34" t="s">
        <v>111</v>
      </c>
      <c r="D46" s="174"/>
    </row>
    <row r="47" spans="1:7">
      <c r="A47" s="171" t="s">
        <v>74</v>
      </c>
      <c r="B47" s="33">
        <f t="shared" si="0"/>
        <v>1057.8390410958905</v>
      </c>
      <c r="C47" s="34" t="s">
        <v>111</v>
      </c>
      <c r="D47" s="174"/>
    </row>
    <row r="48" spans="1:7">
      <c r="A48" s="171" t="s">
        <v>75</v>
      </c>
      <c r="B48" s="33">
        <f t="shared" si="0"/>
        <v>211.56780821917809</v>
      </c>
      <c r="C48" s="33">
        <f>B48*10</f>
        <v>2115.678082191781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1603.1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32759.200000000004</v>
      </c>
      <c r="C5" s="17">
        <f>IF(ISERROR('Eigen informatie GS &amp; warmtenet'!B58),0,'Eigen informatie GS &amp; warmtenet'!B58)</f>
        <v>0</v>
      </c>
      <c r="D5" s="30">
        <f>SUM(D6:D12)</f>
        <v>20345.555295999999</v>
      </c>
      <c r="E5" s="17">
        <f>SUM(E6:E12)</f>
        <v>631.20432086491439</v>
      </c>
      <c r="F5" s="17">
        <f>SUM(F6:F12)</f>
        <v>7850.6067070267054</v>
      </c>
      <c r="G5" s="18"/>
      <c r="H5" s="17"/>
      <c r="I5" s="17"/>
      <c r="J5" s="17">
        <f>SUM(J6:J12)</f>
        <v>0</v>
      </c>
      <c r="K5" s="17"/>
      <c r="L5" s="17"/>
      <c r="M5" s="17"/>
      <c r="N5" s="17">
        <f>SUM(N6:N12)</f>
        <v>3990.8485543335341</v>
      </c>
      <c r="O5" s="17">
        <f>B38*B39*B40</f>
        <v>4.6900000000000004</v>
      </c>
      <c r="P5" s="17">
        <f>B46*B47*B48/1000-B46*B47*B48/1000/B49</f>
        <v>76.266666666666666</v>
      </c>
      <c r="R5" s="32"/>
    </row>
    <row r="6" spans="1:18">
      <c r="A6" s="32" t="s">
        <v>54</v>
      </c>
      <c r="B6" s="37">
        <f>B26</f>
        <v>9420.4760000000006</v>
      </c>
      <c r="C6" s="33"/>
      <c r="D6" s="37">
        <f>IF(ISERROR(TER_kantoor_gas_kWh/1000),0,TER_kantoor_gas_kWh/1000)*0.902</f>
        <v>6147.5864120000006</v>
      </c>
      <c r="E6" s="33">
        <f>$C$26*'E Balans VL '!I12/100/3.6*1000000</f>
        <v>123.32563518375545</v>
      </c>
      <c r="F6" s="33">
        <f>$C$26*('E Balans VL '!L12+'E Balans VL '!N12)/100/3.6*1000000</f>
        <v>2402.1240324374244</v>
      </c>
      <c r="G6" s="34"/>
      <c r="H6" s="33"/>
      <c r="I6" s="33"/>
      <c r="J6" s="33">
        <f>$C$26*('E Balans VL '!D12+'E Balans VL '!E12)/100/3.6*1000000</f>
        <v>0</v>
      </c>
      <c r="K6" s="33"/>
      <c r="L6" s="33"/>
      <c r="M6" s="33"/>
      <c r="N6" s="33">
        <f>$C$26*'E Balans VL '!Y12/100/3.6*1000000</f>
        <v>9.4521989483428399</v>
      </c>
      <c r="O6" s="33"/>
      <c r="P6" s="33"/>
      <c r="R6" s="32"/>
    </row>
    <row r="7" spans="1:18">
      <c r="A7" s="32" t="s">
        <v>53</v>
      </c>
      <c r="B7" s="37">
        <f t="shared" ref="B7:B12" si="0">B27</f>
        <v>2292.1570000000002</v>
      </c>
      <c r="C7" s="33"/>
      <c r="D7" s="37">
        <f>IF(ISERROR(TER_horeca_gas_kWh/1000),0,TER_horeca_gas_kWh/1000)*0.902</f>
        <v>2511.372754</v>
      </c>
      <c r="E7" s="33">
        <f>$C$27*'E Balans VL '!I9/100/3.6*1000000</f>
        <v>75.856453976690787</v>
      </c>
      <c r="F7" s="33">
        <f>$C$27*('E Balans VL '!L9+'E Balans VL '!N9)/100/3.6*1000000</f>
        <v>985.61872539031174</v>
      </c>
      <c r="G7" s="34"/>
      <c r="H7" s="33"/>
      <c r="I7" s="33"/>
      <c r="J7" s="33">
        <f>$C$27*('E Balans VL '!D9+'E Balans VL '!E9)/100/3.6*1000000</f>
        <v>0</v>
      </c>
      <c r="K7" s="33"/>
      <c r="L7" s="33"/>
      <c r="M7" s="33"/>
      <c r="N7" s="33">
        <f>$C$27*'E Balans VL '!Y9/100/3.6*1000000</f>
        <v>0.55175547567245009</v>
      </c>
      <c r="O7" s="33"/>
      <c r="P7" s="33"/>
      <c r="R7" s="32"/>
    </row>
    <row r="8" spans="1:18">
      <c r="A8" s="6" t="s">
        <v>52</v>
      </c>
      <c r="B8" s="37">
        <f t="shared" si="0"/>
        <v>13402.578</v>
      </c>
      <c r="C8" s="33"/>
      <c r="D8" s="37">
        <f>IF(ISERROR(TER_handel_gas_kWh/1000),0,TER_handel_gas_kWh/1000)*0.902</f>
        <v>4617.5211060000001</v>
      </c>
      <c r="E8" s="33">
        <f>$C$28*'E Balans VL '!I13/100/3.6*1000000</f>
        <v>423.00584020960798</v>
      </c>
      <c r="F8" s="33">
        <f>$C$28*('E Balans VL '!L13+'E Balans VL '!N13)/100/3.6*1000000</f>
        <v>2628.4815505461061</v>
      </c>
      <c r="G8" s="34"/>
      <c r="H8" s="33"/>
      <c r="I8" s="33"/>
      <c r="J8" s="33">
        <f>$C$28*('E Balans VL '!D13+'E Balans VL '!E13)/100/3.6*1000000</f>
        <v>0</v>
      </c>
      <c r="K8" s="33"/>
      <c r="L8" s="33"/>
      <c r="M8" s="33"/>
      <c r="N8" s="33">
        <f>$C$28*'E Balans VL '!Y13/100/3.6*1000000</f>
        <v>15.906258007425629</v>
      </c>
      <c r="O8" s="33"/>
      <c r="P8" s="33"/>
      <c r="R8" s="32"/>
    </row>
    <row r="9" spans="1:18">
      <c r="A9" s="32" t="s">
        <v>51</v>
      </c>
      <c r="B9" s="37">
        <f t="shared" si="0"/>
        <v>1934.127</v>
      </c>
      <c r="C9" s="33"/>
      <c r="D9" s="37">
        <f>IF(ISERROR(TER_gezond_gas_kWh/1000),0,TER_gezond_gas_kWh/1000)*0.902</f>
        <v>3656.0946400000003</v>
      </c>
      <c r="E9" s="33">
        <f>$C$29*'E Balans VL '!I10/100/3.6*1000000</f>
        <v>0.24762483762994478</v>
      </c>
      <c r="F9" s="33">
        <f>$C$29*('E Balans VL '!L10+'E Balans VL '!N10)/100/3.6*1000000</f>
        <v>402.95972079179586</v>
      </c>
      <c r="G9" s="34"/>
      <c r="H9" s="33"/>
      <c r="I9" s="33"/>
      <c r="J9" s="33">
        <f>$C$29*('E Balans VL '!D10+'E Balans VL '!E10)/100/3.6*1000000</f>
        <v>0</v>
      </c>
      <c r="K9" s="33"/>
      <c r="L9" s="33"/>
      <c r="M9" s="33"/>
      <c r="N9" s="33">
        <f>$C$29*'E Balans VL '!Y10/100/3.6*1000000</f>
        <v>22.717235803604765</v>
      </c>
      <c r="O9" s="33"/>
      <c r="P9" s="33"/>
      <c r="R9" s="32"/>
    </row>
    <row r="10" spans="1:18">
      <c r="A10" s="32" t="s">
        <v>50</v>
      </c>
      <c r="B10" s="37">
        <f t="shared" si="0"/>
        <v>5000.7150000000001</v>
      </c>
      <c r="C10" s="33"/>
      <c r="D10" s="37">
        <f>IF(ISERROR(TER_ander_gas_kWh/1000),0,TER_ander_gas_kWh/1000)*0.902</f>
        <v>1803.761872</v>
      </c>
      <c r="E10" s="33">
        <f>$C$30*'E Balans VL '!I14/100/3.6*1000000</f>
        <v>7.5198993639170011</v>
      </c>
      <c r="F10" s="33">
        <f>$C$30*('E Balans VL '!L14+'E Balans VL '!N14)/100/3.6*1000000</f>
        <v>1103.9966759673257</v>
      </c>
      <c r="G10" s="34"/>
      <c r="H10" s="33"/>
      <c r="I10" s="33"/>
      <c r="J10" s="33">
        <f>$C$30*('E Balans VL '!D14+'E Balans VL '!E14)/100/3.6*1000000</f>
        <v>0</v>
      </c>
      <c r="K10" s="33"/>
      <c r="L10" s="33"/>
      <c r="M10" s="33"/>
      <c r="N10" s="33">
        <f>$C$30*'E Balans VL '!Y14/100/3.6*1000000</f>
        <v>3940.8999554308512</v>
      </c>
      <c r="O10" s="33"/>
      <c r="P10" s="33"/>
      <c r="R10" s="32"/>
    </row>
    <row r="11" spans="1:18">
      <c r="A11" s="32" t="s">
        <v>55</v>
      </c>
      <c r="B11" s="37">
        <f t="shared" si="0"/>
        <v>709.14700000000005</v>
      </c>
      <c r="C11" s="33"/>
      <c r="D11" s="37">
        <f>IF(ISERROR(TER_onderwijs_gas_kWh/1000),0,TER_onderwijs_gas_kWh/1000)*0.902</f>
        <v>1609.2185120000001</v>
      </c>
      <c r="E11" s="33">
        <f>$C$31*'E Balans VL '!I11/100/3.6*1000000</f>
        <v>1.2488672933131848</v>
      </c>
      <c r="F11" s="33">
        <f>$C$31*('E Balans VL '!L11+'E Balans VL '!N11)/100/3.6*1000000</f>
        <v>327.42600189374178</v>
      </c>
      <c r="G11" s="34"/>
      <c r="H11" s="33"/>
      <c r="I11" s="33"/>
      <c r="J11" s="33">
        <f>$C$31*('E Balans VL '!D11+'E Balans VL '!E11)/100/3.6*1000000</f>
        <v>0</v>
      </c>
      <c r="K11" s="33"/>
      <c r="L11" s="33"/>
      <c r="M11" s="33"/>
      <c r="N11" s="33">
        <f>$C$31*'E Balans VL '!Y11/100/3.6*1000000</f>
        <v>1.3211506676369362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67.5</v>
      </c>
      <c r="C13" s="247">
        <f ca="1">'lokale energieproductie'!O90+'lokale energieproductie'!O59</f>
        <v>96.428571428571431</v>
      </c>
      <c r="D13" s="310">
        <f ca="1">('lokale energieproductie'!P59+'lokale energieproductie'!P90)*(-1)</f>
        <v>-192.85714285714286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32826.700000000004</v>
      </c>
      <c r="C16" s="21">
        <f t="shared" ca="1" si="1"/>
        <v>96.428571428571431</v>
      </c>
      <c r="D16" s="21">
        <f t="shared" ca="1" si="1"/>
        <v>20152.698153142857</v>
      </c>
      <c r="E16" s="21">
        <f t="shared" si="1"/>
        <v>631.20432086491439</v>
      </c>
      <c r="F16" s="21">
        <f t="shared" ca="1" si="1"/>
        <v>7850.6067070267054</v>
      </c>
      <c r="G16" s="21">
        <f t="shared" si="1"/>
        <v>0</v>
      </c>
      <c r="H16" s="21">
        <f t="shared" si="1"/>
        <v>0</v>
      </c>
      <c r="I16" s="21">
        <f t="shared" si="1"/>
        <v>0</v>
      </c>
      <c r="J16" s="21">
        <f t="shared" si="1"/>
        <v>0</v>
      </c>
      <c r="K16" s="21">
        <f t="shared" si="1"/>
        <v>0</v>
      </c>
      <c r="L16" s="21">
        <f t="shared" ca="1" si="1"/>
        <v>0</v>
      </c>
      <c r="M16" s="21">
        <f t="shared" si="1"/>
        <v>0</v>
      </c>
      <c r="N16" s="21">
        <f t="shared" ca="1" si="1"/>
        <v>3990.8485543335341</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0.17583996535999386</v>
      </c>
      <c r="C18" s="25">
        <f ca="1">'EF ele_warmte'!B22</f>
        <v>1.4646667278958591E-3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5772.245790882911</v>
      </c>
      <c r="C20" s="23">
        <f t="shared" ref="C20:P20" ca="1" si="2">C16*C18</f>
        <v>0.14123572018995784</v>
      </c>
      <c r="D20" s="23">
        <f t="shared" ca="1" si="2"/>
        <v>4070.8450269348573</v>
      </c>
      <c r="E20" s="23">
        <f t="shared" si="2"/>
        <v>143.28338083633557</v>
      </c>
      <c r="F20" s="23">
        <f t="shared" ca="1" si="2"/>
        <v>2096.1119907761304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9420.4760000000006</v>
      </c>
      <c r="C26" s="39">
        <f>IF(ISERROR(B26*3.6/1000000/'E Balans VL '!Z12*100),0,B26*3.6/1000000/'E Balans VL '!Z12*100)</f>
        <v>0.20179391440282612</v>
      </c>
      <c r="D26" s="237" t="s">
        <v>660</v>
      </c>
      <c r="F26" s="6"/>
    </row>
    <row r="27" spans="1:18">
      <c r="A27" s="231" t="s">
        <v>53</v>
      </c>
      <c r="B27" s="33">
        <f>IF(ISERROR(TER_horeca_ele_kWh/1000),0,TER_horeca_ele_kWh/1000)</f>
        <v>2292.1570000000002</v>
      </c>
      <c r="C27" s="39">
        <f>IF(ISERROR(B27*3.6/1000000/'E Balans VL '!Z9*100),0,B27*3.6/1000000/'E Balans VL '!Z9*100)</f>
        <v>0.18393763179359318</v>
      </c>
      <c r="D27" s="237" t="s">
        <v>660</v>
      </c>
      <c r="F27" s="6"/>
    </row>
    <row r="28" spans="1:18">
      <c r="A28" s="171" t="s">
        <v>52</v>
      </c>
      <c r="B28" s="33">
        <f>IF(ISERROR(TER_handel_ele_kWh/1000),0,TER_handel_ele_kWh/1000)</f>
        <v>13402.578</v>
      </c>
      <c r="C28" s="39">
        <f>IF(ISERROR(B28*3.6/1000000/'E Balans VL '!Z13*100),0,B28*3.6/1000000/'E Balans VL '!Z13*100)</f>
        <v>0.39529917687885158</v>
      </c>
      <c r="D28" s="237" t="s">
        <v>660</v>
      </c>
      <c r="F28" s="6"/>
    </row>
    <row r="29" spans="1:18">
      <c r="A29" s="231" t="s">
        <v>51</v>
      </c>
      <c r="B29" s="33">
        <f>IF(ISERROR(TER_gezond_ele_kWh/1000),0,TER_gezond_ele_kWh/1000)</f>
        <v>1934.127</v>
      </c>
      <c r="C29" s="39">
        <f>IF(ISERROR(B29*3.6/1000000/'E Balans VL '!Z10*100),0,B29*3.6/1000000/'E Balans VL '!Z10*100)</f>
        <v>0.2065129077105502</v>
      </c>
      <c r="D29" s="237" t="s">
        <v>660</v>
      </c>
      <c r="F29" s="6"/>
    </row>
    <row r="30" spans="1:18">
      <c r="A30" s="231" t="s">
        <v>50</v>
      </c>
      <c r="B30" s="33">
        <f>IF(ISERROR(TER_ander_ele_kWh/1000),0,TER_ander_ele_kWh/1000)</f>
        <v>5000.7150000000001</v>
      </c>
      <c r="C30" s="39">
        <f>IF(ISERROR(B30*3.6/1000000/'E Balans VL '!Z14*100),0,B30*3.6/1000000/'E Balans VL '!Z14*100)</f>
        <v>0.37772364096571309</v>
      </c>
      <c r="D30" s="237" t="s">
        <v>660</v>
      </c>
      <c r="F30" s="6"/>
    </row>
    <row r="31" spans="1:18">
      <c r="A31" s="231" t="s">
        <v>55</v>
      </c>
      <c r="B31" s="33">
        <f>IF(ISERROR(TER_onderwijs_ele_kWh/1000),0,TER_onderwijs_ele_kWh/1000)</f>
        <v>709.14700000000005</v>
      </c>
      <c r="C31" s="39">
        <f>IF(ISERROR(B31*3.6/1000000/'E Balans VL '!Z11*100),0,B31*3.6/1000000/'E Balans VL '!Z11*100)</f>
        <v>0.14320045245571097</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37307.994000000006</v>
      </c>
      <c r="C5" s="17">
        <f>IF(ISERROR('Eigen informatie GS &amp; warmtenet'!B59),0,'Eigen informatie GS &amp; warmtenet'!B59)</f>
        <v>0</v>
      </c>
      <c r="D5" s="30">
        <f>SUM(D6:D15)</f>
        <v>116556.13692799999</v>
      </c>
      <c r="E5" s="17">
        <f>SUM(E6:E15)</f>
        <v>1519.1058906784338</v>
      </c>
      <c r="F5" s="17">
        <f>SUM(F6:F15)</f>
        <v>11498.288324033671</v>
      </c>
      <c r="G5" s="18"/>
      <c r="H5" s="17"/>
      <c r="I5" s="17"/>
      <c r="J5" s="17">
        <f>SUM(J6:J15)</f>
        <v>8.3623564249382643</v>
      </c>
      <c r="K5" s="17"/>
      <c r="L5" s="17"/>
      <c r="M5" s="17"/>
      <c r="N5" s="17">
        <f>SUM(N6:N15)</f>
        <v>10881.494908090554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8670.9959999999992</v>
      </c>
      <c r="C8" s="33"/>
      <c r="D8" s="37">
        <f>IF( ISERROR(IND_metaal_Gas_kWH/1000),0,IND_metaal_Gas_kWH/1000)*0.902</f>
        <v>3715.50938</v>
      </c>
      <c r="E8" s="33">
        <f>C30*'E Balans VL '!I18/100/3.6*1000000</f>
        <v>312.00866762108382</v>
      </c>
      <c r="F8" s="33">
        <f>C30*'E Balans VL '!L18/100/3.6*1000000+C30*'E Balans VL '!N18/100/3.6*1000000</f>
        <v>3786.3428697514114</v>
      </c>
      <c r="G8" s="34"/>
      <c r="H8" s="33"/>
      <c r="I8" s="33"/>
      <c r="J8" s="40">
        <f>C30*'E Balans VL '!D18/100/3.6*1000000+C30*'E Balans VL '!E18/100/3.6*1000000</f>
        <v>0</v>
      </c>
      <c r="K8" s="33"/>
      <c r="L8" s="33"/>
      <c r="M8" s="33"/>
      <c r="N8" s="33">
        <f>C30*'E Balans VL '!Y18/100/3.6*1000000</f>
        <v>434.584426953844</v>
      </c>
      <c r="O8" s="33"/>
      <c r="P8" s="33"/>
      <c r="R8" s="32"/>
    </row>
    <row r="9" spans="1:18">
      <c r="A9" s="6" t="s">
        <v>33</v>
      </c>
      <c r="B9" s="37">
        <f t="shared" si="0"/>
        <v>2140.201</v>
      </c>
      <c r="C9" s="33"/>
      <c r="D9" s="37">
        <f>IF( ISERROR(IND_andere_gas_kWh/1000),0,IND_andere_gas_kWh/1000)*0.902</f>
        <v>1357.6543200000001</v>
      </c>
      <c r="E9" s="33">
        <f>C31*'E Balans VL '!I19/100/3.6*1000000</f>
        <v>546.1308717960859</v>
      </c>
      <c r="F9" s="33">
        <f>C31*'E Balans VL '!L19/100/3.6*1000000+C31*'E Balans VL '!N19/100/3.6*1000000</f>
        <v>1842.5521972389943</v>
      </c>
      <c r="G9" s="34"/>
      <c r="H9" s="33"/>
      <c r="I9" s="33"/>
      <c r="J9" s="40">
        <f>C31*'E Balans VL '!D19/100/3.6*1000000+C31*'E Balans VL '!E19/100/3.6*1000000</f>
        <v>0</v>
      </c>
      <c r="K9" s="33"/>
      <c r="L9" s="33"/>
      <c r="M9" s="33"/>
      <c r="N9" s="33">
        <f>C31*'E Balans VL '!Y19/100/3.6*1000000</f>
        <v>669.31414692949022</v>
      </c>
      <c r="O9" s="33"/>
      <c r="P9" s="33"/>
      <c r="R9" s="32"/>
    </row>
    <row r="10" spans="1:18">
      <c r="A10" s="6" t="s">
        <v>41</v>
      </c>
      <c r="B10" s="37">
        <f t="shared" si="0"/>
        <v>25496.496999999999</v>
      </c>
      <c r="C10" s="33"/>
      <c r="D10" s="37">
        <f>IF( ISERROR(IND_voed_gas_kWh/1000),0,IND_voed_gas_kWh/1000)*0.902</f>
        <v>109843.11558</v>
      </c>
      <c r="E10" s="33">
        <f>C32*'E Balans VL '!I20/100/3.6*1000000</f>
        <v>648.15596329935522</v>
      </c>
      <c r="F10" s="33">
        <f>C32*'E Balans VL '!L20/100/3.6*1000000+C32*'E Balans VL '!N20/100/3.6*1000000</f>
        <v>5769.4745356729063</v>
      </c>
      <c r="G10" s="34"/>
      <c r="H10" s="33"/>
      <c r="I10" s="33"/>
      <c r="J10" s="40">
        <f>C32*'E Balans VL '!D20/100/3.6*1000000+C32*'E Balans VL '!E20/100/3.6*1000000</f>
        <v>0</v>
      </c>
      <c r="K10" s="33"/>
      <c r="L10" s="33"/>
      <c r="M10" s="33"/>
      <c r="N10" s="33">
        <f>C32*'E Balans VL '!Y20/100/3.6*1000000</f>
        <v>9561.8774847350614</v>
      </c>
      <c r="O10" s="33"/>
      <c r="P10" s="33"/>
      <c r="R10" s="32"/>
    </row>
    <row r="11" spans="1:18">
      <c r="A11" s="6" t="s">
        <v>40</v>
      </c>
      <c r="B11" s="37">
        <f t="shared" si="0"/>
        <v>466.70400000000001</v>
      </c>
      <c r="C11" s="33"/>
      <c r="D11" s="37">
        <f>IF( ISERROR(IND_textiel_gas_kWh/1000),0,IND_textiel_gas_kWh/1000)*0.902</f>
        <v>1359.1633660000002</v>
      </c>
      <c r="E11" s="33">
        <f>C33*'E Balans VL '!I21/100/3.6*1000000</f>
        <v>1.2812279873698729</v>
      </c>
      <c r="F11" s="33">
        <f>C33*'E Balans VL '!L21/100/3.6*1000000+C33*'E Balans VL '!N21/100/3.6*1000000</f>
        <v>24.742701073810274</v>
      </c>
      <c r="G11" s="34"/>
      <c r="H11" s="33"/>
      <c r="I11" s="33"/>
      <c r="J11" s="40">
        <f>C33*'E Balans VL '!D21/100/3.6*1000000+C33*'E Balans VL '!E21/100/3.6*1000000</f>
        <v>0</v>
      </c>
      <c r="K11" s="33"/>
      <c r="L11" s="33"/>
      <c r="M11" s="33"/>
      <c r="N11" s="33">
        <f>C33*'E Balans VL '!Y21/100/3.6*1000000</f>
        <v>0.93799780860572946</v>
      </c>
      <c r="O11" s="33"/>
      <c r="P11" s="33"/>
      <c r="R11" s="32"/>
    </row>
    <row r="12" spans="1:18">
      <c r="A12" s="6" t="s">
        <v>37</v>
      </c>
      <c r="B12" s="37">
        <f t="shared" si="0"/>
        <v>359.726</v>
      </c>
      <c r="C12" s="33"/>
      <c r="D12" s="37">
        <f>IF( ISERROR(IND_min_gas_kWh/1000),0,IND_min_gas_kWh/1000)*0.902</f>
        <v>64.060941999999997</v>
      </c>
      <c r="E12" s="33">
        <f>C34*'E Balans VL '!I22/100/3.6*1000000</f>
        <v>7.6432759467074955</v>
      </c>
      <c r="F12" s="33">
        <f>C34*'E Balans VL '!L22/100/3.6*1000000+C34*'E Balans VL '!N22/100/3.6*1000000</f>
        <v>58.692362520446565</v>
      </c>
      <c r="G12" s="34"/>
      <c r="H12" s="33"/>
      <c r="I12" s="33"/>
      <c r="J12" s="40">
        <f>C34*'E Balans VL '!D22/100/3.6*1000000+C34*'E Balans VL '!E22/100/3.6*1000000</f>
        <v>0.41911435981448186</v>
      </c>
      <c r="K12" s="33"/>
      <c r="L12" s="33"/>
      <c r="M12" s="33"/>
      <c r="N12" s="33">
        <f>C34*'E Balans VL '!Y22/100/3.6*1000000</f>
        <v>0</v>
      </c>
      <c r="O12" s="33"/>
      <c r="P12" s="33"/>
      <c r="R12" s="32"/>
    </row>
    <row r="13" spans="1:18">
      <c r="A13" s="6" t="s">
        <v>39</v>
      </c>
      <c r="B13" s="37">
        <f t="shared" si="0"/>
        <v>111.04600000000001</v>
      </c>
      <c r="C13" s="33"/>
      <c r="D13" s="37">
        <f>IF( ISERROR(IND_papier_gas_kWh/1000),0,IND_papier_gas_kWh/1000)*0.902</f>
        <v>208.72911400000001</v>
      </c>
      <c r="E13" s="33">
        <f>C35*'E Balans VL '!I23/100/3.6*1000000</f>
        <v>0.47624398874380552</v>
      </c>
      <c r="F13" s="33">
        <f>C35*'E Balans VL '!L23/100/3.6*1000000+C35*'E Balans VL '!N23/100/3.6*1000000</f>
        <v>2.790930644842621</v>
      </c>
      <c r="G13" s="34"/>
      <c r="H13" s="33"/>
      <c r="I13" s="33"/>
      <c r="J13" s="40">
        <f>C35*'E Balans VL '!D23/100/3.6*1000000+C35*'E Balans VL '!E23/100/3.6*1000000</f>
        <v>7.4339206377443583</v>
      </c>
      <c r="K13" s="33"/>
      <c r="L13" s="33"/>
      <c r="M13" s="33"/>
      <c r="N13" s="33">
        <f>C35*'E Balans VL '!Y23/100/3.6*1000000</f>
        <v>202.13012774631804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62.823999999999998</v>
      </c>
      <c r="C15" s="33"/>
      <c r="D15" s="37">
        <f>IF( ISERROR(IND_rest_gas_kWh/1000),0,IND_rest_gas_kWh/1000)*0.902</f>
        <v>7.9042260000000004</v>
      </c>
      <c r="E15" s="33">
        <f>C37*'E Balans VL '!I15/100/3.6*1000000</f>
        <v>3.4096400390876691</v>
      </c>
      <c r="F15" s="33">
        <f>C37*'E Balans VL '!L15/100/3.6*1000000+C37*'E Balans VL '!N15/100/3.6*1000000</f>
        <v>13.692727131260328</v>
      </c>
      <c r="G15" s="34"/>
      <c r="H15" s="33"/>
      <c r="I15" s="33"/>
      <c r="J15" s="40">
        <f>C37*'E Balans VL '!D15/100/3.6*1000000+C37*'E Balans VL '!E15/100/3.6*1000000</f>
        <v>0.50932142737942354</v>
      </c>
      <c r="K15" s="33"/>
      <c r="L15" s="33"/>
      <c r="M15" s="33"/>
      <c r="N15" s="33">
        <f>C37*'E Balans VL '!Y15/100/3.6*1000000</f>
        <v>12.650723917234995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37307.994000000006</v>
      </c>
      <c r="C18" s="21">
        <f>C5+C16</f>
        <v>0</v>
      </c>
      <c r="D18" s="21">
        <f>MAX((D5+D16),0)</f>
        <v>116556.13692799999</v>
      </c>
      <c r="E18" s="21">
        <f>MAX((E5+E16),0)</f>
        <v>1519.1058906784338</v>
      </c>
      <c r="F18" s="21">
        <f>MAX((F5+F16),0)</f>
        <v>11498.288324033671</v>
      </c>
      <c r="G18" s="21"/>
      <c r="H18" s="21"/>
      <c r="I18" s="21"/>
      <c r="J18" s="21">
        <f>MAX((J5+J16),0)</f>
        <v>8.3623564249382643</v>
      </c>
      <c r="K18" s="21"/>
      <c r="L18" s="21">
        <f>MAX((L5+L16),0)</f>
        <v>0</v>
      </c>
      <c r="M18" s="21"/>
      <c r="N18" s="21">
        <f>MAX((N5+N16),0)</f>
        <v>10881.494908090554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0.17583996535999386</v>
      </c>
      <c r="C20" s="25">
        <f ca="1">'EF ele_warmte'!B22</f>
        <v>1.4646667278958591E-3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6560.2363726108597</v>
      </c>
      <c r="C22" s="23">
        <f ca="1">C18*C20</f>
        <v>0</v>
      </c>
      <c r="D22" s="23">
        <f>D18*D20</f>
        <v>23544.339659456</v>
      </c>
      <c r="E22" s="23">
        <f>E18*E20</f>
        <v>344.83703718400449</v>
      </c>
      <c r="F22" s="23">
        <f>F18*F20</f>
        <v>3070.0429825169904</v>
      </c>
      <c r="G22" s="23"/>
      <c r="H22" s="23"/>
      <c r="I22" s="23"/>
      <c r="J22" s="23">
        <f>J18*J20</f>
        <v>2.9602741744281453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8670.9959999999992</v>
      </c>
      <c r="C30" s="39">
        <f>IF(ISERROR(B30*3.6/1000000/'E Balans VL '!Z18*100),0,B30*3.6/1000000/'E Balans VL '!Z18*100)</f>
        <v>1.8371981511452882</v>
      </c>
      <c r="D30" s="237" t="s">
        <v>660</v>
      </c>
    </row>
    <row r="31" spans="1:18">
      <c r="A31" s="6" t="s">
        <v>33</v>
      </c>
      <c r="B31" s="37">
        <f>IF( ISERROR(IND_ander_ele_kWh/1000),0,IND_ander_ele_kWh/1000)</f>
        <v>2140.201</v>
      </c>
      <c r="C31" s="39">
        <f>IF(ISERROR(B31*3.6/1000000/'E Balans VL '!Z19*100),0,B31*3.6/1000000/'E Balans VL '!Z19*100)</f>
        <v>9.0085919769795159E-2</v>
      </c>
      <c r="D31" s="237" t="s">
        <v>660</v>
      </c>
    </row>
    <row r="32" spans="1:18">
      <c r="A32" s="171" t="s">
        <v>41</v>
      </c>
      <c r="B32" s="37">
        <f>IF( ISERROR(IND_voed_ele_kWh/1000),0,IND_voed_ele_kWh/1000)</f>
        <v>25496.496999999999</v>
      </c>
      <c r="C32" s="39">
        <f>IF(ISERROR(B32*3.6/1000000/'E Balans VL '!Z20*100),0,B32*3.6/1000000/'E Balans VL '!Z20*100)</f>
        <v>4.2594782968733407</v>
      </c>
      <c r="D32" s="237" t="s">
        <v>660</v>
      </c>
    </row>
    <row r="33" spans="1:5">
      <c r="A33" s="171" t="s">
        <v>40</v>
      </c>
      <c r="B33" s="37">
        <f>IF( ISERROR(IND_textiel_ele_kWh/1000),0,IND_textiel_ele_kWh/1000)</f>
        <v>466.70400000000001</v>
      </c>
      <c r="C33" s="39">
        <f>IF(ISERROR(B33*3.6/1000000/'E Balans VL '!Z21*100),0,B33*3.6/1000000/'E Balans VL '!Z21*100)</f>
        <v>2.7247576139599983E-2</v>
      </c>
      <c r="D33" s="237" t="s">
        <v>660</v>
      </c>
    </row>
    <row r="34" spans="1:5">
      <c r="A34" s="171" t="s">
        <v>37</v>
      </c>
      <c r="B34" s="37">
        <f>IF( ISERROR(IND_min_ele_kWh/1000),0,IND_min_ele_kWh/1000)</f>
        <v>359.726</v>
      </c>
      <c r="C34" s="39">
        <f>IF(ISERROR(B34*3.6/1000000/'E Balans VL '!Z22*100),0,B34*3.6/1000000/'E Balans VL '!Z22*100)</f>
        <v>4.559721049658829E-2</v>
      </c>
      <c r="D34" s="237" t="s">
        <v>660</v>
      </c>
    </row>
    <row r="35" spans="1:5">
      <c r="A35" s="171" t="s">
        <v>39</v>
      </c>
      <c r="B35" s="37">
        <f>IF( ISERROR(IND_papier_ele_kWh/1000),0,IND_papier_ele_kWh/1000)</f>
        <v>111.04600000000001</v>
      </c>
      <c r="C35" s="39">
        <f>IF(ISERROR(B35*3.6/1000000/'E Balans VL '!Z22*100),0,B35*3.6/1000000/'E Balans VL '!Z22*100)</f>
        <v>1.4075679369309261E-2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62.823999999999998</v>
      </c>
      <c r="C37" s="39">
        <f>IF(ISERROR(B37*3.6/1000000/'E Balans VL '!Z15*100),0,B37*3.6/1000000/'E Balans VL '!Z15*100)</f>
        <v>5.0720247856777775E-4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5553.1009999999997</v>
      </c>
      <c r="C5" s="17">
        <f>'Eigen informatie GS &amp; warmtenet'!B60</f>
        <v>0</v>
      </c>
      <c r="D5" s="30">
        <f>IF(ISERROR(SUM(LB_lb_gas_kWh,LB_rest_gas_kWh,onbekend_gas_kWh)/1000),0,SUM(LB_lb_gas_kWh,LB_rest_gas_kWh,onbekend_gas_kWh)/1000)*0.902</f>
        <v>4858.6004500000008</v>
      </c>
      <c r="E5" s="17">
        <f>B17*'E Balans VL '!I25/3.6*1000000/100</f>
        <v>143.19315334723342</v>
      </c>
      <c r="F5" s="17">
        <f>B17*('E Balans VL '!L25/3.6*1000000+'E Balans VL '!N25/3.6*1000000)/100</f>
        <v>20297.641691713339</v>
      </c>
      <c r="G5" s="18"/>
      <c r="H5" s="17"/>
      <c r="I5" s="17"/>
      <c r="J5" s="17">
        <f>('E Balans VL '!D25+'E Balans VL '!E25)/3.6*1000000*landbouw!B17/100</f>
        <v>799.44226397781517</v>
      </c>
      <c r="K5" s="17"/>
      <c r="L5" s="17">
        <f>L6*(-1)</f>
        <v>0</v>
      </c>
      <c r="M5" s="17"/>
      <c r="N5" s="17">
        <f>N6*(-1)</f>
        <v>31098.857142857149</v>
      </c>
      <c r="O5" s="17"/>
      <c r="P5" s="17"/>
      <c r="R5" s="32"/>
    </row>
    <row r="6" spans="1:18">
      <c r="A6" s="16" t="s">
        <v>491</v>
      </c>
      <c r="B6" s="17" t="s">
        <v>211</v>
      </c>
      <c r="C6" s="17">
        <f>'lokale energieproductie'!O91+'lokale energieproductie'!O60</f>
        <v>15549.428571428572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-31098.857142857149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5553.1009999999997</v>
      </c>
      <c r="C8" s="21">
        <f>C5+C6</f>
        <v>15549.428571428572</v>
      </c>
      <c r="D8" s="21">
        <f>MAX((D5+D6),0)</f>
        <v>4858.6004500000008</v>
      </c>
      <c r="E8" s="21">
        <f>MAX((E5+E6),0)</f>
        <v>143.19315334723342</v>
      </c>
      <c r="F8" s="21">
        <f>MAX((F5+F6),0)</f>
        <v>20297.641691713339</v>
      </c>
      <c r="G8" s="21"/>
      <c r="H8" s="21"/>
      <c r="I8" s="21"/>
      <c r="J8" s="21">
        <f>MAX((J5+J6),0)</f>
        <v>799.44226397781517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0.17583996535999386</v>
      </c>
      <c r="C10" s="31">
        <f ca="1">'EF ele_warmte'!B22</f>
        <v>1.4646667278958591E-3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976.45708748054722</v>
      </c>
      <c r="C12" s="23">
        <f ca="1">C8*C10</f>
        <v>22.774730666364672</v>
      </c>
      <c r="D12" s="23">
        <f>D8*D10</f>
        <v>981.43729090000022</v>
      </c>
      <c r="E12" s="23">
        <f>E8*E10</f>
        <v>32.504845809821987</v>
      </c>
      <c r="F12" s="23">
        <f>F8*F10</f>
        <v>5419.470331687462</v>
      </c>
      <c r="G12" s="23"/>
      <c r="H12" s="23"/>
      <c r="I12" s="23"/>
      <c r="J12" s="23">
        <f>J8*J10</f>
        <v>283.00256144814654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0.78302402391624537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966.12574804739609</v>
      </c>
      <c r="C26" s="247">
        <f>B26*'GWP N2O_CH4'!B5</f>
        <v>20288.640708995317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380.68336249255839</v>
      </c>
      <c r="C27" s="247">
        <f>B27*'GWP N2O_CH4'!B5</f>
        <v>7994.3506123437264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12.555593801082134</v>
      </c>
      <c r="C28" s="247">
        <f>B28*'GWP N2O_CH4'!B4</f>
        <v>3892.2340783354616</v>
      </c>
      <c r="D28" s="50"/>
    </row>
    <row r="29" spans="1:4">
      <c r="A29" s="41" t="s">
        <v>277</v>
      </c>
      <c r="B29" s="247">
        <f>B34*'ha_N2O bodem landbouw'!B4</f>
        <v>27.077651417027095</v>
      </c>
      <c r="C29" s="247">
        <f>B29*'GWP N2O_CH4'!B4</f>
        <v>8394.0719392783994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6.0939430112124668E-3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9.5331901062111263E-5</v>
      </c>
      <c r="C5" s="463" t="s">
        <v>211</v>
      </c>
      <c r="D5" s="448">
        <f>SUM(D6:D11)</f>
        <v>2.132995179315662E-4</v>
      </c>
      <c r="E5" s="448">
        <f>SUM(E6:E11)</f>
        <v>8.2318220866249461E-4</v>
      </c>
      <c r="F5" s="461" t="s">
        <v>211</v>
      </c>
      <c r="G5" s="448">
        <f>SUM(G6:G11)</f>
        <v>0.2793204415624107</v>
      </c>
      <c r="H5" s="448">
        <f>SUM(H6:H11)</f>
        <v>5.7323907791017883E-2</v>
      </c>
      <c r="I5" s="463" t="s">
        <v>211</v>
      </c>
      <c r="J5" s="463" t="s">
        <v>211</v>
      </c>
      <c r="K5" s="463" t="s">
        <v>211</v>
      </c>
      <c r="L5" s="463" t="s">
        <v>211</v>
      </c>
      <c r="M5" s="448">
        <f>SUM(M6:M11)</f>
        <v>1.0517582276313022E-2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7.9741294381564204E-5</v>
      </c>
      <c r="C6" s="449"/>
      <c r="D6" s="962">
        <f>vkm_2011_GW_PW*SUMIFS(TableVerdeelsleutelVkm[CNG],TableVerdeelsleutelVkm[Voertuigtype],"Lichte voertuigen")*SUMIFS(TableECFTransport[EnergieConsumptieFactor (PJ per km)],TableECFTransport[Index],CONCATENATE($A6,"_CNG_CNG"))</f>
        <v>1.5844734872729911E-4</v>
      </c>
      <c r="E6" s="962">
        <f>vkm_2011_GW_PW*SUMIFS(TableVerdeelsleutelVkm[LPG],TableVerdeelsleutelVkm[Voertuigtype],"Lichte voertuigen")*SUMIFS(TableECFTransport[EnergieConsumptieFactor (PJ per km)],TableECFTransport[Index],CONCATENATE($A6,"_LPG_LPG"))</f>
        <v>6.2354711635852526E-4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0.14825810912090762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4.2896464083582789E-2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5.9565530157656603E-3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8.2522044183428803E-2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2.6658145077223965E-5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2.6001433472151313E-3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1.5590606680547062E-5</v>
      </c>
      <c r="C8" s="449"/>
      <c r="D8" s="451">
        <f>vkm_2011_NGW_PW*SUMIFS(TableVerdeelsleutelVkm[CNG],TableVerdeelsleutelVkm[Voertuigtype],"Lichte voertuigen")*SUMIFS(TableECFTransport[EnergieConsumptieFactor (PJ per km)],TableECFTransport[Index],CONCATENATE($A8,"_CNG_CNG"))</f>
        <v>5.4852169204267096E-5</v>
      </c>
      <c r="E8" s="451">
        <f>vkm_2011_NGW_PW*SUMIFS(TableVerdeelsleutelVkm[LPG],TableVerdeelsleutelVkm[Voertuigtype],"Lichte voertuigen")*SUMIFS(TableECFTransport[EnergieConsumptieFactor (PJ per km)],TableECFTransport[Index],CONCATENATE($A8,"_LPG_LPG"))</f>
        <v>1.9963509230396935E-4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4.4324602438244202E-2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1.4399497634594667E-2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1.8280583205333126E-3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4.2156858198300643E-3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1.2879277632022823E-6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1.3282759279891756E-4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26.481083628364242</v>
      </c>
      <c r="C14" s="21"/>
      <c r="D14" s="21">
        <f t="shared" ref="D14:M14" si="0">((D5)*10^9/3600)+D12</f>
        <v>59.249866092101719</v>
      </c>
      <c r="E14" s="21">
        <f t="shared" si="0"/>
        <v>228.66172462847075</v>
      </c>
      <c r="F14" s="21"/>
      <c r="G14" s="21">
        <f t="shared" si="0"/>
        <v>77589.011545114088</v>
      </c>
      <c r="H14" s="21">
        <f t="shared" si="0"/>
        <v>15923.30771972719</v>
      </c>
      <c r="I14" s="21"/>
      <c r="J14" s="21"/>
      <c r="K14" s="21"/>
      <c r="L14" s="21"/>
      <c r="M14" s="21">
        <f t="shared" si="0"/>
        <v>2921.5506323091727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0.17583996535999386</v>
      </c>
      <c r="C16" s="56">
        <f ca="1">'EF ele_warmte'!B22</f>
        <v>1.4646667278958591E-3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4.6564328279066691</v>
      </c>
      <c r="C18" s="23"/>
      <c r="D18" s="23">
        <f t="shared" ref="D18:M18" si="1">D14*D16</f>
        <v>11.968472950604548</v>
      </c>
      <c r="E18" s="23">
        <f t="shared" si="1"/>
        <v>51.906211490662862</v>
      </c>
      <c r="F18" s="23"/>
      <c r="G18" s="23">
        <f t="shared" si="1"/>
        <v>20716.266082545462</v>
      </c>
      <c r="H18" s="23">
        <f t="shared" si="1"/>
        <v>3964.9036222120703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7.6910780625212526E-3</v>
      </c>
      <c r="H50" s="321">
        <f t="shared" si="2"/>
        <v>0</v>
      </c>
      <c r="I50" s="321">
        <f t="shared" si="2"/>
        <v>0</v>
      </c>
      <c r="J50" s="321">
        <f t="shared" si="2"/>
        <v>0</v>
      </c>
      <c r="K50" s="321">
        <f t="shared" si="2"/>
        <v>0</v>
      </c>
      <c r="L50" s="321">
        <f t="shared" si="2"/>
        <v>0</v>
      </c>
      <c r="M50" s="321">
        <f t="shared" si="2"/>
        <v>2.3856003515732935E-4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7.6910780625212526E-3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2.3856003515732935E-4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2136.4105729225703</v>
      </c>
      <c r="H54" s="21">
        <f t="shared" si="3"/>
        <v>0</v>
      </c>
      <c r="I54" s="21">
        <f t="shared" si="3"/>
        <v>0</v>
      </c>
      <c r="J54" s="21">
        <f t="shared" si="3"/>
        <v>0</v>
      </c>
      <c r="K54" s="21">
        <f t="shared" si="3"/>
        <v>0</v>
      </c>
      <c r="L54" s="21">
        <f t="shared" si="3"/>
        <v>0</v>
      </c>
      <c r="M54" s="21">
        <f t="shared" si="3"/>
        <v>66.266676432591481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0.17583996535999386</v>
      </c>
      <c r="C56" s="56">
        <f ca="1">'EF ele_warmte'!B22</f>
        <v>1.4646667278958591E-3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570.42162297032633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10573.123642252935</v>
      </c>
      <c r="C6" s="1203"/>
      <c r="D6" s="1188"/>
      <c r="E6" s="1188"/>
      <c r="F6" s="1206"/>
      <c r="G6" s="1209"/>
      <c r="H6" s="1200"/>
      <c r="I6" s="1188"/>
      <c r="J6" s="1188"/>
      <c r="K6" s="1188"/>
      <c r="L6" s="1192"/>
      <c r="M6" s="575"/>
      <c r="N6" s="1166"/>
      <c r="O6" s="1167"/>
      <c r="Q6" s="573"/>
      <c r="R6" s="1154"/>
      <c r="S6" s="1154"/>
    </row>
    <row r="7" spans="1:19" s="563" customFormat="1">
      <c r="A7" s="576" t="s">
        <v>252</v>
      </c>
      <c r="B7" s="577">
        <f>N57</f>
        <v>10952.1</v>
      </c>
      <c r="C7" s="578">
        <f>B100</f>
        <v>79.411764705882348</v>
      </c>
      <c r="D7" s="579"/>
      <c r="E7" s="579">
        <f>E100</f>
        <v>0</v>
      </c>
      <c r="F7" s="580"/>
      <c r="G7" s="581"/>
      <c r="H7" s="579">
        <f>I100</f>
        <v>0</v>
      </c>
      <c r="I7" s="579">
        <f>G100+F100</f>
        <v>0</v>
      </c>
      <c r="J7" s="579">
        <f>H100+D100+C100</f>
        <v>12805.411764705885</v>
      </c>
      <c r="K7" s="579"/>
      <c r="L7" s="582"/>
      <c r="M7" s="583">
        <f>C7*$C$11+D7*$D$11+E7*$E$11+F7*$F$11+G7*$G$11+H7*$H$11+I7*$I$11+J7*$J$11</f>
        <v>16.041176470588237</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21525.223642252935</v>
      </c>
      <c r="C9" s="594">
        <f t="shared" ref="C9:L9" si="0">SUM(C7:C8)</f>
        <v>79.411764705882348</v>
      </c>
      <c r="D9" s="594">
        <f t="shared" si="0"/>
        <v>0</v>
      </c>
      <c r="E9" s="594">
        <f t="shared" si="0"/>
        <v>0</v>
      </c>
      <c r="F9" s="594">
        <f t="shared" si="0"/>
        <v>0</v>
      </c>
      <c r="G9" s="594">
        <f t="shared" si="0"/>
        <v>0</v>
      </c>
      <c r="H9" s="594">
        <f t="shared" si="0"/>
        <v>0</v>
      </c>
      <c r="I9" s="594">
        <f t="shared" si="0"/>
        <v>0</v>
      </c>
      <c r="J9" s="594">
        <f t="shared" si="0"/>
        <v>12805.411764705885</v>
      </c>
      <c r="K9" s="594">
        <f t="shared" si="0"/>
        <v>0</v>
      </c>
      <c r="L9" s="594">
        <f t="shared" si="0"/>
        <v>0</v>
      </c>
      <c r="M9" s="595">
        <f>SUM(M4:M8)</f>
        <v>16.041176470588237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15645.857142857143</v>
      </c>
      <c r="C16" s="610">
        <f>B101</f>
        <v>113.44537815126051</v>
      </c>
      <c r="D16" s="611"/>
      <c r="E16" s="611">
        <f>E101</f>
        <v>0</v>
      </c>
      <c r="F16" s="612"/>
      <c r="G16" s="613"/>
      <c r="H16" s="610">
        <f>I101</f>
        <v>0</v>
      </c>
      <c r="I16" s="611">
        <f>G101+F101</f>
        <v>0</v>
      </c>
      <c r="J16" s="611">
        <f>H101+D101+C101</f>
        <v>18293.445378151264</v>
      </c>
      <c r="K16" s="611"/>
      <c r="L16" s="614"/>
      <c r="M16" s="615">
        <f>C16*$C$21+E16*$E$21+H16*$H$21+I16*$I$21+J16*$J$21+D16*$D$21+F16*$F$21+G16*$G$21+K16*$K$21+L16*$L$21</f>
        <v>22.915966386554626</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15645.857142857143</v>
      </c>
      <c r="C19" s="593">
        <f>SUM(C16:C18)</f>
        <v>113.44537815126051</v>
      </c>
      <c r="D19" s="593">
        <f t="shared" ref="D19:M19" si="1">SUM(D16:D18)</f>
        <v>0</v>
      </c>
      <c r="E19" s="593">
        <f t="shared" si="1"/>
        <v>0</v>
      </c>
      <c r="F19" s="593">
        <f t="shared" si="1"/>
        <v>0</v>
      </c>
      <c r="G19" s="593">
        <f t="shared" si="1"/>
        <v>0</v>
      </c>
      <c r="H19" s="593">
        <f t="shared" si="1"/>
        <v>0</v>
      </c>
      <c r="I19" s="593">
        <f t="shared" si="1"/>
        <v>0</v>
      </c>
      <c r="J19" s="593">
        <f t="shared" si="1"/>
        <v>18293.445378151264</v>
      </c>
      <c r="K19" s="593">
        <f t="shared" si="1"/>
        <v>0</v>
      </c>
      <c r="L19" s="593">
        <f t="shared" si="1"/>
        <v>0</v>
      </c>
      <c r="M19" s="620">
        <f t="shared" si="1"/>
        <v>22.915966386554626</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72004</v>
      </c>
      <c r="C27" s="851">
        <v>3960</v>
      </c>
      <c r="D27" s="672" t="s">
        <v>818</v>
      </c>
      <c r="E27" s="671" t="s">
        <v>819</v>
      </c>
      <c r="F27" s="671" t="s">
        <v>820</v>
      </c>
      <c r="G27" s="671" t="s">
        <v>821</v>
      </c>
      <c r="H27" s="671" t="s">
        <v>822</v>
      </c>
      <c r="I27" s="671" t="s">
        <v>819</v>
      </c>
      <c r="J27" s="850">
        <v>41068</v>
      </c>
      <c r="K27" s="850">
        <v>41275</v>
      </c>
      <c r="L27" s="671" t="s">
        <v>823</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25.5">
      <c r="A28" s="624"/>
      <c r="B28" s="851">
        <v>72004</v>
      </c>
      <c r="C28" s="851">
        <v>3960</v>
      </c>
      <c r="D28" s="672" t="s">
        <v>824</v>
      </c>
      <c r="E28" s="671" t="s">
        <v>825</v>
      </c>
      <c r="F28" s="671" t="s">
        <v>826</v>
      </c>
      <c r="G28" s="671" t="s">
        <v>821</v>
      </c>
      <c r="H28" s="671" t="s">
        <v>822</v>
      </c>
      <c r="I28" s="671" t="s">
        <v>827</v>
      </c>
      <c r="J28" s="850">
        <v>41078</v>
      </c>
      <c r="K28" s="850">
        <v>41275</v>
      </c>
      <c r="L28" s="671" t="s">
        <v>823</v>
      </c>
      <c r="M28" s="671">
        <v>19.399999999999999</v>
      </c>
      <c r="N28" s="671">
        <v>87.299999999999983</v>
      </c>
      <c r="O28" s="671">
        <v>124.71428571428569</v>
      </c>
      <c r="P28" s="671">
        <v>0</v>
      </c>
      <c r="Q28" s="671">
        <v>249.42857142857139</v>
      </c>
      <c r="R28" s="671">
        <v>0</v>
      </c>
      <c r="S28" s="671">
        <v>0</v>
      </c>
      <c r="T28" s="671">
        <v>0</v>
      </c>
      <c r="U28" s="671">
        <v>0</v>
      </c>
      <c r="V28" s="671">
        <v>0</v>
      </c>
      <c r="W28" s="671">
        <v>0</v>
      </c>
      <c r="X28" s="671">
        <v>10</v>
      </c>
      <c r="Y28" s="671" t="s">
        <v>112</v>
      </c>
      <c r="Z28" s="673" t="s">
        <v>112</v>
      </c>
    </row>
    <row r="29" spans="1:26" s="625" customFormat="1" ht="25.5">
      <c r="A29" s="624"/>
      <c r="B29" s="851">
        <v>72004</v>
      </c>
      <c r="C29" s="851">
        <v>3960</v>
      </c>
      <c r="D29" s="672" t="s">
        <v>828</v>
      </c>
      <c r="E29" s="671" t="s">
        <v>829</v>
      </c>
      <c r="F29" s="671" t="s">
        <v>830</v>
      </c>
      <c r="G29" s="671" t="s">
        <v>821</v>
      </c>
      <c r="H29" s="671" t="s">
        <v>822</v>
      </c>
      <c r="I29" s="671" t="s">
        <v>831</v>
      </c>
      <c r="J29" s="850">
        <v>41382</v>
      </c>
      <c r="K29" s="850">
        <v>41382</v>
      </c>
      <c r="L29" s="671" t="s">
        <v>823</v>
      </c>
      <c r="M29" s="671">
        <v>2380</v>
      </c>
      <c r="N29" s="671">
        <v>10710</v>
      </c>
      <c r="O29" s="671">
        <v>15300</v>
      </c>
      <c r="P29" s="671">
        <v>0</v>
      </c>
      <c r="Q29" s="671">
        <v>30600.000000000004</v>
      </c>
      <c r="R29" s="671">
        <v>0</v>
      </c>
      <c r="S29" s="671">
        <v>0</v>
      </c>
      <c r="T29" s="671">
        <v>0</v>
      </c>
      <c r="U29" s="671">
        <v>0</v>
      </c>
      <c r="V29" s="671">
        <v>0</v>
      </c>
      <c r="W29" s="671">
        <v>0</v>
      </c>
      <c r="X29" s="671">
        <v>10</v>
      </c>
      <c r="Y29" s="671" t="s">
        <v>112</v>
      </c>
      <c r="Z29" s="673" t="s">
        <v>112</v>
      </c>
    </row>
    <row r="30" spans="1:26" s="625" customFormat="1" ht="25.5">
      <c r="A30" s="624"/>
      <c r="B30" s="851">
        <v>72004</v>
      </c>
      <c r="C30" s="851">
        <v>3960</v>
      </c>
      <c r="D30" s="672" t="s">
        <v>832</v>
      </c>
      <c r="E30" s="671" t="s">
        <v>833</v>
      </c>
      <c r="F30" s="671" t="s">
        <v>834</v>
      </c>
      <c r="G30" s="671" t="s">
        <v>821</v>
      </c>
      <c r="H30" s="671" t="s">
        <v>822</v>
      </c>
      <c r="I30" s="671" t="s">
        <v>833</v>
      </c>
      <c r="J30" s="850">
        <v>41252</v>
      </c>
      <c r="K30" s="850">
        <v>41865</v>
      </c>
      <c r="L30" s="671" t="s">
        <v>823</v>
      </c>
      <c r="M30" s="671">
        <v>15</v>
      </c>
      <c r="N30" s="671">
        <v>67.5</v>
      </c>
      <c r="O30" s="671">
        <v>96.428571428571431</v>
      </c>
      <c r="P30" s="671">
        <v>192.85714285714286</v>
      </c>
      <c r="Q30" s="671">
        <v>0</v>
      </c>
      <c r="R30" s="671">
        <v>0</v>
      </c>
      <c r="S30" s="671">
        <v>0</v>
      </c>
      <c r="T30" s="671">
        <v>0</v>
      </c>
      <c r="U30" s="671">
        <v>0</v>
      </c>
      <c r="V30" s="671">
        <v>0</v>
      </c>
      <c r="W30" s="671">
        <v>0</v>
      </c>
      <c r="X30" s="671">
        <v>1200</v>
      </c>
      <c r="Y30" s="671" t="s">
        <v>835</v>
      </c>
      <c r="Z30" s="673" t="s">
        <v>156</v>
      </c>
    </row>
    <row r="31" spans="1:26" s="625" customFormat="1" ht="25.5">
      <c r="A31" s="624"/>
      <c r="B31" s="851">
        <v>72004</v>
      </c>
      <c r="C31" s="851">
        <v>3960</v>
      </c>
      <c r="D31" s="672" t="s">
        <v>836</v>
      </c>
      <c r="E31" s="671" t="s">
        <v>837</v>
      </c>
      <c r="F31" s="671" t="s">
        <v>838</v>
      </c>
      <c r="G31" s="671" t="s">
        <v>821</v>
      </c>
      <c r="H31" s="671" t="s">
        <v>822</v>
      </c>
      <c r="I31" s="671" t="s">
        <v>837</v>
      </c>
      <c r="J31" s="850">
        <v>41862</v>
      </c>
      <c r="K31" s="850">
        <v>41887</v>
      </c>
      <c r="L31" s="671" t="s">
        <v>823</v>
      </c>
      <c r="M31" s="671">
        <v>9.6999999999999993</v>
      </c>
      <c r="N31" s="671">
        <v>43.649999999999991</v>
      </c>
      <c r="O31" s="671">
        <v>62.357142857142847</v>
      </c>
      <c r="P31" s="671">
        <v>0</v>
      </c>
      <c r="Q31" s="671">
        <v>124.71428571428569</v>
      </c>
      <c r="R31" s="671">
        <v>0</v>
      </c>
      <c r="S31" s="671">
        <v>0</v>
      </c>
      <c r="T31" s="671">
        <v>0</v>
      </c>
      <c r="U31" s="671">
        <v>0</v>
      </c>
      <c r="V31" s="671">
        <v>0</v>
      </c>
      <c r="W31" s="671">
        <v>0</v>
      </c>
      <c r="X31" s="671">
        <v>10</v>
      </c>
      <c r="Y31" s="671" t="s">
        <v>112</v>
      </c>
      <c r="Z31" s="673" t="s">
        <v>112</v>
      </c>
    </row>
    <row r="32" spans="1:26" s="625" customFormat="1" ht="25.5">
      <c r="A32" s="624"/>
      <c r="B32" s="851">
        <v>72004</v>
      </c>
      <c r="C32" s="851">
        <v>3960</v>
      </c>
      <c r="D32" s="672"/>
      <c r="E32" s="671"/>
      <c r="F32" s="671" t="s">
        <v>839</v>
      </c>
      <c r="G32" s="671" t="s">
        <v>821</v>
      </c>
      <c r="H32" s="671" t="s">
        <v>822</v>
      </c>
      <c r="I32" s="671" t="s">
        <v>829</v>
      </c>
      <c r="J32" s="850">
        <v>42346</v>
      </c>
      <c r="K32" s="850">
        <v>42346</v>
      </c>
      <c r="L32" s="671" t="s">
        <v>823</v>
      </c>
      <c r="M32" s="671">
        <v>1189</v>
      </c>
      <c r="N32" s="671">
        <v>0</v>
      </c>
      <c r="O32" s="671">
        <v>0</v>
      </c>
      <c r="P32" s="671">
        <v>0</v>
      </c>
      <c r="Q32" s="671">
        <v>0</v>
      </c>
      <c r="R32" s="671">
        <v>0</v>
      </c>
      <c r="S32" s="671">
        <v>0</v>
      </c>
      <c r="T32" s="671">
        <v>0</v>
      </c>
      <c r="U32" s="671">
        <v>0</v>
      </c>
      <c r="V32" s="671">
        <v>0</v>
      </c>
      <c r="W32" s="671">
        <v>0</v>
      </c>
      <c r="X32" s="671">
        <v>10</v>
      </c>
      <c r="Y32" s="671" t="s">
        <v>112</v>
      </c>
      <c r="Z32" s="673" t="s">
        <v>112</v>
      </c>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3622.7999999999997</v>
      </c>
      <c r="N57" s="629">
        <f>SUM(N27:N56)</f>
        <v>10952.1</v>
      </c>
      <c r="O57" s="629">
        <f t="shared" ref="O57:W57" si="2">SUM(O27:O56)</f>
        <v>15645.857142857143</v>
      </c>
      <c r="P57" s="629">
        <f t="shared" si="2"/>
        <v>192.85714285714286</v>
      </c>
      <c r="Q57" s="629">
        <f t="shared" si="2"/>
        <v>31098.857142857149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v>
      </c>
      <c r="N59" s="629">
        <f ca="1">SUMIF($Z$27:AB56,"tertiair",N27:N56)</f>
        <v>67.5</v>
      </c>
      <c r="O59" s="629">
        <f ca="1">SUMIF($Z$27:AC56,"tertiair",O27:O56)</f>
        <v>96.428571428571431</v>
      </c>
      <c r="P59" s="629">
        <f ca="1">SUMIF($Z$27:AD56,"tertiair",P27:P56)</f>
        <v>192.85714285714286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3607.7999999999997</v>
      </c>
      <c r="N60" s="634">
        <f t="shared" ref="N60:W60" si="4">SUMIF($Z$27:$Z$56,"landbouw",N27:N56)</f>
        <v>10884.6</v>
      </c>
      <c r="O60" s="634">
        <f t="shared" si="4"/>
        <v>15549.428571428572</v>
      </c>
      <c r="P60" s="634">
        <f t="shared" si="4"/>
        <v>0</v>
      </c>
      <c r="Q60" s="634">
        <f t="shared" si="4"/>
        <v>31098.857142857149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79.411764705882348</v>
      </c>
      <c r="C100" s="663">
        <f t="shared" si="9"/>
        <v>12805.411764705885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113.44537815126051</v>
      </c>
      <c r="C101" s="666">
        <f t="shared" ref="C101:H101" si="10">$B$97*Q57</f>
        <v>18293.445378151264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34016.742000000006</v>
      </c>
      <c r="D10" s="718">
        <f ca="1">tertiair!C16</f>
        <v>96.428571428571431</v>
      </c>
      <c r="E10" s="718">
        <f ca="1">tertiair!D16</f>
        <v>20152.698153142857</v>
      </c>
      <c r="F10" s="718">
        <f>tertiair!E16</f>
        <v>631.20432086491439</v>
      </c>
      <c r="G10" s="718">
        <f ca="1">tertiair!F16</f>
        <v>7850.6067070267054</v>
      </c>
      <c r="H10" s="718">
        <f>tertiair!G16</f>
        <v>0</v>
      </c>
      <c r="I10" s="718">
        <f>tertiair!H16</f>
        <v>0</v>
      </c>
      <c r="J10" s="718">
        <f>tertiair!I16</f>
        <v>0</v>
      </c>
      <c r="K10" s="718">
        <f>tertiair!J16</f>
        <v>0</v>
      </c>
      <c r="L10" s="718">
        <f>tertiair!K16</f>
        <v>0</v>
      </c>
      <c r="M10" s="718">
        <f ca="1">tertiair!L16</f>
        <v>0</v>
      </c>
      <c r="N10" s="718">
        <f>tertiair!M16</f>
        <v>0</v>
      </c>
      <c r="O10" s="718">
        <f ca="1">tertiair!N16</f>
        <v>3990.8485543335341</v>
      </c>
      <c r="P10" s="718">
        <f>tertiair!O16</f>
        <v>4.6900000000000004</v>
      </c>
      <c r="Q10" s="719">
        <f>tertiair!P16</f>
        <v>76.266666666666666</v>
      </c>
      <c r="R10" s="721">
        <f ca="1">SUM(C10:Q10)</f>
        <v>66819.484973463259</v>
      </c>
      <c r="S10" s="67"/>
    </row>
    <row r="11" spans="1:19" s="474" customFormat="1">
      <c r="A11" s="870" t="s">
        <v>225</v>
      </c>
      <c r="B11" s="875"/>
      <c r="C11" s="718">
        <f>huishoudens!B8</f>
        <v>28078.62283438741</v>
      </c>
      <c r="D11" s="718">
        <f>huishoudens!C8</f>
        <v>0</v>
      </c>
      <c r="E11" s="718">
        <f>huishoudens!D8</f>
        <v>42510.284938000004</v>
      </c>
      <c r="F11" s="718">
        <f>huishoudens!E8</f>
        <v>4557.3494730858802</v>
      </c>
      <c r="G11" s="718">
        <f>huishoudens!F8</f>
        <v>39022.907299014005</v>
      </c>
      <c r="H11" s="718">
        <f>huishoudens!G8</f>
        <v>0</v>
      </c>
      <c r="I11" s="718">
        <f>huishoudens!H8</f>
        <v>0</v>
      </c>
      <c r="J11" s="718">
        <f>huishoudens!I8</f>
        <v>0</v>
      </c>
      <c r="K11" s="718">
        <f>huishoudens!J8</f>
        <v>0</v>
      </c>
      <c r="L11" s="718">
        <f>huishoudens!K8</f>
        <v>0</v>
      </c>
      <c r="M11" s="718">
        <f>huishoudens!L8</f>
        <v>0</v>
      </c>
      <c r="N11" s="718">
        <f>huishoudens!M8</f>
        <v>0</v>
      </c>
      <c r="O11" s="718">
        <f>huishoudens!N8</f>
        <v>13590.33176334929</v>
      </c>
      <c r="P11" s="718">
        <f>huishoudens!O8</f>
        <v>345.49666666666667</v>
      </c>
      <c r="Q11" s="719">
        <f>huishoudens!P8</f>
        <v>877.06666666666661</v>
      </c>
      <c r="R11" s="721">
        <f>SUM(C11:Q11)</f>
        <v>128982.05964116991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37307.994000000006</v>
      </c>
      <c r="D13" s="718">
        <f>industrie!C18</f>
        <v>0</v>
      </c>
      <c r="E13" s="718">
        <f>industrie!D18</f>
        <v>116556.13692799999</v>
      </c>
      <c r="F13" s="718">
        <f>industrie!E18</f>
        <v>1519.1058906784338</v>
      </c>
      <c r="G13" s="718">
        <f>industrie!F18</f>
        <v>11498.288324033671</v>
      </c>
      <c r="H13" s="718">
        <f>industrie!G18</f>
        <v>0</v>
      </c>
      <c r="I13" s="718">
        <f>industrie!H18</f>
        <v>0</v>
      </c>
      <c r="J13" s="718">
        <f>industrie!I18</f>
        <v>0</v>
      </c>
      <c r="K13" s="718">
        <f>industrie!J18</f>
        <v>8.3623564249382643</v>
      </c>
      <c r="L13" s="718">
        <f>industrie!K18</f>
        <v>0</v>
      </c>
      <c r="M13" s="718">
        <f>industrie!L18</f>
        <v>0</v>
      </c>
      <c r="N13" s="718">
        <f>industrie!M18</f>
        <v>0</v>
      </c>
      <c r="O13" s="718">
        <f>industrie!N18</f>
        <v>10881.494908090554</v>
      </c>
      <c r="P13" s="718">
        <f>industrie!O18</f>
        <v>0</v>
      </c>
      <c r="Q13" s="719">
        <f>industrie!P18</f>
        <v>0</v>
      </c>
      <c r="R13" s="721">
        <f>SUM(C13:Q13)</f>
        <v>177771.38240722762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99403.358834387414</v>
      </c>
      <c r="D15" s="723">
        <f t="shared" ref="D15:Q15" ca="1" si="0">SUM(D9:D14)</f>
        <v>96.428571428571431</v>
      </c>
      <c r="E15" s="723">
        <f t="shared" ca="1" si="0"/>
        <v>179219.12001914287</v>
      </c>
      <c r="F15" s="723">
        <f t="shared" si="0"/>
        <v>6707.6596846292287</v>
      </c>
      <c r="G15" s="723">
        <f t="shared" ca="1" si="0"/>
        <v>58371.802330074381</v>
      </c>
      <c r="H15" s="723">
        <f t="shared" si="0"/>
        <v>0</v>
      </c>
      <c r="I15" s="723">
        <f t="shared" si="0"/>
        <v>0</v>
      </c>
      <c r="J15" s="723">
        <f t="shared" si="0"/>
        <v>0</v>
      </c>
      <c r="K15" s="723">
        <f t="shared" si="0"/>
        <v>8.3623564249382643</v>
      </c>
      <c r="L15" s="723">
        <f t="shared" si="0"/>
        <v>0</v>
      </c>
      <c r="M15" s="723">
        <f t="shared" ca="1" si="0"/>
        <v>0</v>
      </c>
      <c r="N15" s="723">
        <f t="shared" si="0"/>
        <v>0</v>
      </c>
      <c r="O15" s="723">
        <f t="shared" ca="1" si="0"/>
        <v>28462.675225773379</v>
      </c>
      <c r="P15" s="723">
        <f t="shared" si="0"/>
        <v>350.18666666666667</v>
      </c>
      <c r="Q15" s="724">
        <f t="shared" si="0"/>
        <v>953.33333333333326</v>
      </c>
      <c r="R15" s="725">
        <f ca="1">SUM(R9:R14)</f>
        <v>373572.92702186079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2136.4105729225703</v>
      </c>
      <c r="I18" s="718">
        <f>transport!H54</f>
        <v>0</v>
      </c>
      <c r="J18" s="718">
        <f>transport!I54</f>
        <v>0</v>
      </c>
      <c r="K18" s="718">
        <f>transport!J54</f>
        <v>0</v>
      </c>
      <c r="L18" s="718">
        <f>transport!K54</f>
        <v>0</v>
      </c>
      <c r="M18" s="718">
        <f>transport!L54</f>
        <v>0</v>
      </c>
      <c r="N18" s="718">
        <f>transport!M54</f>
        <v>66.266676432591481</v>
      </c>
      <c r="O18" s="718">
        <f>transport!N54</f>
        <v>0</v>
      </c>
      <c r="P18" s="718">
        <f>transport!O54</f>
        <v>0</v>
      </c>
      <c r="Q18" s="719">
        <f>transport!P54</f>
        <v>0</v>
      </c>
      <c r="R18" s="721">
        <f>SUM(C18:Q18)</f>
        <v>2202.6772493551616</v>
      </c>
      <c r="S18" s="67"/>
    </row>
    <row r="19" spans="1:19" s="474" customFormat="1" ht="15" thickBot="1">
      <c r="A19" s="870" t="s">
        <v>307</v>
      </c>
      <c r="B19" s="875"/>
      <c r="C19" s="727">
        <f>transport!B14</f>
        <v>26.481083628364242</v>
      </c>
      <c r="D19" s="727">
        <f>transport!C14</f>
        <v>0</v>
      </c>
      <c r="E19" s="727">
        <f>transport!D14</f>
        <v>59.249866092101719</v>
      </c>
      <c r="F19" s="727">
        <f>transport!E14</f>
        <v>228.66172462847075</v>
      </c>
      <c r="G19" s="727">
        <f>transport!F14</f>
        <v>0</v>
      </c>
      <c r="H19" s="727">
        <f>transport!G14</f>
        <v>77589.011545114088</v>
      </c>
      <c r="I19" s="727">
        <f>transport!H14</f>
        <v>15923.30771972719</v>
      </c>
      <c r="J19" s="727">
        <f>transport!I14</f>
        <v>0</v>
      </c>
      <c r="K19" s="727">
        <f>transport!J14</f>
        <v>0</v>
      </c>
      <c r="L19" s="727">
        <f>transport!K14</f>
        <v>0</v>
      </c>
      <c r="M19" s="727">
        <f>transport!L14</f>
        <v>0</v>
      </c>
      <c r="N19" s="727">
        <f>transport!M14</f>
        <v>2921.5506323091727</v>
      </c>
      <c r="O19" s="727">
        <f>transport!N14</f>
        <v>0</v>
      </c>
      <c r="P19" s="727">
        <f>transport!O14</f>
        <v>0</v>
      </c>
      <c r="Q19" s="728">
        <f>transport!P14</f>
        <v>0</v>
      </c>
      <c r="R19" s="729">
        <f>SUM(C19:Q19)</f>
        <v>96748.262571499392</v>
      </c>
      <c r="S19" s="67"/>
    </row>
    <row r="20" spans="1:19" s="474" customFormat="1" ht="15.75" thickBot="1">
      <c r="A20" s="730" t="s">
        <v>230</v>
      </c>
      <c r="B20" s="878"/>
      <c r="C20" s="873">
        <f>SUM(C17:C19)</f>
        <v>26.481083628364242</v>
      </c>
      <c r="D20" s="731">
        <f t="shared" ref="D20:R20" si="1">SUM(D17:D19)</f>
        <v>0</v>
      </c>
      <c r="E20" s="731">
        <f t="shared" si="1"/>
        <v>59.249866092101719</v>
      </c>
      <c r="F20" s="731">
        <f t="shared" si="1"/>
        <v>228.66172462847075</v>
      </c>
      <c r="G20" s="731">
        <f t="shared" si="1"/>
        <v>0</v>
      </c>
      <c r="H20" s="731">
        <f t="shared" si="1"/>
        <v>79725.422118036659</v>
      </c>
      <c r="I20" s="731">
        <f t="shared" si="1"/>
        <v>15923.30771972719</v>
      </c>
      <c r="J20" s="731">
        <f t="shared" si="1"/>
        <v>0</v>
      </c>
      <c r="K20" s="731">
        <f t="shared" si="1"/>
        <v>0</v>
      </c>
      <c r="L20" s="731">
        <f t="shared" si="1"/>
        <v>0</v>
      </c>
      <c r="M20" s="731">
        <f t="shared" si="1"/>
        <v>0</v>
      </c>
      <c r="N20" s="731">
        <f t="shared" si="1"/>
        <v>2987.817308741764</v>
      </c>
      <c r="O20" s="731">
        <f t="shared" si="1"/>
        <v>0</v>
      </c>
      <c r="P20" s="731">
        <f t="shared" si="1"/>
        <v>0</v>
      </c>
      <c r="Q20" s="732">
        <f t="shared" si="1"/>
        <v>0</v>
      </c>
      <c r="R20" s="733">
        <f t="shared" si="1"/>
        <v>98950.939820854546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5553.1009999999997</v>
      </c>
      <c r="D22" s="727">
        <f>+landbouw!C8</f>
        <v>15549.428571428572</v>
      </c>
      <c r="E22" s="727">
        <f>+landbouw!D8</f>
        <v>4858.6004500000008</v>
      </c>
      <c r="F22" s="727">
        <f>+landbouw!E8</f>
        <v>143.19315334723342</v>
      </c>
      <c r="G22" s="727">
        <f>+landbouw!F8</f>
        <v>20297.641691713339</v>
      </c>
      <c r="H22" s="727">
        <f>+landbouw!G8</f>
        <v>0</v>
      </c>
      <c r="I22" s="727">
        <f>+landbouw!H8</f>
        <v>0</v>
      </c>
      <c r="J22" s="727">
        <f>+landbouw!I8</f>
        <v>0</v>
      </c>
      <c r="K22" s="727">
        <f>+landbouw!J8</f>
        <v>799.44226397781517</v>
      </c>
      <c r="L22" s="727">
        <f>+landbouw!K8</f>
        <v>0</v>
      </c>
      <c r="M22" s="727">
        <f>+landbouw!L8</f>
        <v>0</v>
      </c>
      <c r="N22" s="727">
        <f>+landbouw!M8</f>
        <v>0</v>
      </c>
      <c r="O22" s="727">
        <f>+landbouw!N8</f>
        <v>0</v>
      </c>
      <c r="P22" s="727">
        <f>+landbouw!O8</f>
        <v>0</v>
      </c>
      <c r="Q22" s="728">
        <f>+landbouw!P8</f>
        <v>0</v>
      </c>
      <c r="R22" s="729">
        <f>SUM(C22:Q22)</f>
        <v>47201.407130466956</v>
      </c>
      <c r="S22" s="67"/>
    </row>
    <row r="23" spans="1:19" s="474" customFormat="1" ht="17.25" thickTop="1" thickBot="1">
      <c r="A23" s="734" t="s">
        <v>116</v>
      </c>
      <c r="B23" s="864"/>
      <c r="C23" s="735">
        <f ca="1">C20+C15+C22</f>
        <v>104982.94091801577</v>
      </c>
      <c r="D23" s="735">
        <f t="shared" ref="D23:Q23" ca="1" si="2">D20+D15+D22</f>
        <v>15645.857142857143</v>
      </c>
      <c r="E23" s="735">
        <f t="shared" ca="1" si="2"/>
        <v>184136.97033523498</v>
      </c>
      <c r="F23" s="735">
        <f t="shared" si="2"/>
        <v>7079.5145626049325</v>
      </c>
      <c r="G23" s="735">
        <f t="shared" ca="1" si="2"/>
        <v>78669.444021787727</v>
      </c>
      <c r="H23" s="735">
        <f t="shared" si="2"/>
        <v>79725.422118036659</v>
      </c>
      <c r="I23" s="735">
        <f t="shared" si="2"/>
        <v>15923.30771972719</v>
      </c>
      <c r="J23" s="735">
        <f t="shared" si="2"/>
        <v>0</v>
      </c>
      <c r="K23" s="735">
        <f t="shared" si="2"/>
        <v>807.80462040275347</v>
      </c>
      <c r="L23" s="735">
        <f t="shared" si="2"/>
        <v>0</v>
      </c>
      <c r="M23" s="735">
        <f t="shared" ca="1" si="2"/>
        <v>0</v>
      </c>
      <c r="N23" s="735">
        <f t="shared" si="2"/>
        <v>2987.817308741764</v>
      </c>
      <c r="O23" s="735">
        <f t="shared" ca="1" si="2"/>
        <v>28462.675225773379</v>
      </c>
      <c r="P23" s="735">
        <f t="shared" si="2"/>
        <v>350.18666666666667</v>
      </c>
      <c r="Q23" s="736">
        <f t="shared" si="2"/>
        <v>953.33333333333326</v>
      </c>
      <c r="R23" s="737">
        <f ca="1">R20+R15+R22</f>
        <v>519725.27397318225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5981.5027349398488</v>
      </c>
      <c r="D36" s="718">
        <f ca="1">tertiair!C20</f>
        <v>0.14123572018995784</v>
      </c>
      <c r="E36" s="718">
        <f ca="1">tertiair!D20</f>
        <v>4070.8450269348573</v>
      </c>
      <c r="F36" s="718">
        <f>tertiair!E20</f>
        <v>143.28338083633557</v>
      </c>
      <c r="G36" s="718">
        <f ca="1">tertiair!F20</f>
        <v>2096.1119907761304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12291.884369207361</v>
      </c>
    </row>
    <row r="37" spans="1:18">
      <c r="A37" s="885" t="s">
        <v>225</v>
      </c>
      <c r="B37" s="892"/>
      <c r="C37" s="718">
        <f ca="1">huishoudens!B12</f>
        <v>4937.3440665550143</v>
      </c>
      <c r="D37" s="718">
        <f ca="1">huishoudens!C12</f>
        <v>0</v>
      </c>
      <c r="E37" s="718">
        <f>huishoudens!D12</f>
        <v>8587.0775574760009</v>
      </c>
      <c r="F37" s="718">
        <f>huishoudens!E12</f>
        <v>1034.5183303904948</v>
      </c>
      <c r="G37" s="718">
        <f>huishoudens!F12</f>
        <v>10419.116248836739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24978.056203258249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6560.2363726108597</v>
      </c>
      <c r="D39" s="718">
        <f ca="1">industrie!C22</f>
        <v>0</v>
      </c>
      <c r="E39" s="718">
        <f>industrie!D22</f>
        <v>23544.339659456</v>
      </c>
      <c r="F39" s="718">
        <f>industrie!E22</f>
        <v>344.83703718400449</v>
      </c>
      <c r="G39" s="718">
        <f>industrie!F22</f>
        <v>3070.0429825169904</v>
      </c>
      <c r="H39" s="718">
        <f>industrie!G22</f>
        <v>0</v>
      </c>
      <c r="I39" s="718">
        <f>industrie!H22</f>
        <v>0</v>
      </c>
      <c r="J39" s="718">
        <f>industrie!I22</f>
        <v>0</v>
      </c>
      <c r="K39" s="718">
        <f>industrie!J22</f>
        <v>2.9602741744281453</v>
      </c>
      <c r="L39" s="718">
        <f>industrie!K22</f>
        <v>0</v>
      </c>
      <c r="M39" s="718">
        <f>industrie!L22</f>
        <v>0</v>
      </c>
      <c r="N39" s="718">
        <f>industrie!M22</f>
        <v>0</v>
      </c>
      <c r="O39" s="718">
        <f>industrie!N22</f>
        <v>0</v>
      </c>
      <c r="P39" s="718">
        <f>industrie!O22</f>
        <v>0</v>
      </c>
      <c r="Q39" s="828">
        <f>industrie!P22</f>
        <v>0</v>
      </c>
      <c r="R39" s="918">
        <f ca="1">SUM(C39:Q39)</f>
        <v>33522.416325942286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17479.083174105723</v>
      </c>
      <c r="D41" s="763">
        <f t="shared" ref="D41:R41" ca="1" si="4">SUM(D35:D40)</f>
        <v>0.14123572018995784</v>
      </c>
      <c r="E41" s="763">
        <f t="shared" ca="1" si="4"/>
        <v>36202.262243866862</v>
      </c>
      <c r="F41" s="763">
        <f t="shared" si="4"/>
        <v>1522.6387484108348</v>
      </c>
      <c r="G41" s="763">
        <f t="shared" ca="1" si="4"/>
        <v>15585.271222129859</v>
      </c>
      <c r="H41" s="763">
        <f t="shared" si="4"/>
        <v>0</v>
      </c>
      <c r="I41" s="763">
        <f t="shared" si="4"/>
        <v>0</v>
      </c>
      <c r="J41" s="763">
        <f t="shared" si="4"/>
        <v>0</v>
      </c>
      <c r="K41" s="763">
        <f t="shared" si="4"/>
        <v>2.9602741744281453</v>
      </c>
      <c r="L41" s="763">
        <f t="shared" si="4"/>
        <v>0</v>
      </c>
      <c r="M41" s="763">
        <f t="shared" ca="1" si="4"/>
        <v>0</v>
      </c>
      <c r="N41" s="763">
        <f t="shared" si="4"/>
        <v>0</v>
      </c>
      <c r="O41" s="763">
        <f t="shared" ca="1" si="4"/>
        <v>0</v>
      </c>
      <c r="P41" s="763">
        <f t="shared" si="4"/>
        <v>0</v>
      </c>
      <c r="Q41" s="764">
        <f t="shared" si="4"/>
        <v>0</v>
      </c>
      <c r="R41" s="765">
        <f t="shared" ca="1" si="4"/>
        <v>70792.356898407888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570.42162297032633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570.42162297032633</v>
      </c>
    </row>
    <row r="45" spans="1:18" ht="15" thickBot="1">
      <c r="A45" s="888" t="s">
        <v>307</v>
      </c>
      <c r="B45" s="898"/>
      <c r="C45" s="727">
        <f ca="1">transport!B18</f>
        <v>4.6564328279066691</v>
      </c>
      <c r="D45" s="727">
        <f>transport!C18</f>
        <v>0</v>
      </c>
      <c r="E45" s="727">
        <f>transport!D18</f>
        <v>11.968472950604548</v>
      </c>
      <c r="F45" s="727">
        <f>transport!E18</f>
        <v>51.906211490662862</v>
      </c>
      <c r="G45" s="727">
        <f>transport!F18</f>
        <v>0</v>
      </c>
      <c r="H45" s="727">
        <f>transport!G18</f>
        <v>20716.266082545462</v>
      </c>
      <c r="I45" s="727">
        <f>transport!H18</f>
        <v>3964.9036222120703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24749.700822026705</v>
      </c>
    </row>
    <row r="46" spans="1:18" ht="15.75" thickBot="1">
      <c r="A46" s="886" t="s">
        <v>230</v>
      </c>
      <c r="B46" s="899"/>
      <c r="C46" s="763">
        <f t="shared" ref="C46:R46" ca="1" si="5">SUM(C43:C45)</f>
        <v>4.6564328279066691</v>
      </c>
      <c r="D46" s="763">
        <f t="shared" ca="1" si="5"/>
        <v>0</v>
      </c>
      <c r="E46" s="763">
        <f t="shared" si="5"/>
        <v>11.968472950604548</v>
      </c>
      <c r="F46" s="763">
        <f t="shared" si="5"/>
        <v>51.906211490662862</v>
      </c>
      <c r="G46" s="763">
        <f t="shared" si="5"/>
        <v>0</v>
      </c>
      <c r="H46" s="763">
        <f t="shared" si="5"/>
        <v>21286.687705515789</v>
      </c>
      <c r="I46" s="763">
        <f t="shared" si="5"/>
        <v>3964.9036222120703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25320.122444997032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976.45708748054722</v>
      </c>
      <c r="D48" s="718">
        <f ca="1">+landbouw!C12</f>
        <v>22.774730666364672</v>
      </c>
      <c r="E48" s="718">
        <f>+landbouw!D12</f>
        <v>981.43729090000022</v>
      </c>
      <c r="F48" s="718">
        <f>+landbouw!E12</f>
        <v>32.504845809821987</v>
      </c>
      <c r="G48" s="718">
        <f>+landbouw!F12</f>
        <v>5419.470331687462</v>
      </c>
      <c r="H48" s="718">
        <f>+landbouw!G12</f>
        <v>0</v>
      </c>
      <c r="I48" s="718">
        <f>+landbouw!H12</f>
        <v>0</v>
      </c>
      <c r="J48" s="718">
        <f>+landbouw!I12</f>
        <v>0</v>
      </c>
      <c r="K48" s="718">
        <f>+landbouw!J12</f>
        <v>283.00256144814654</v>
      </c>
      <c r="L48" s="718">
        <f>+landbouw!K12</f>
        <v>0</v>
      </c>
      <c r="M48" s="718">
        <f>+landbouw!L12</f>
        <v>0</v>
      </c>
      <c r="N48" s="718">
        <f>+landbouw!M12</f>
        <v>0</v>
      </c>
      <c r="O48" s="718">
        <f>+landbouw!N12</f>
        <v>0</v>
      </c>
      <c r="P48" s="718">
        <f>+landbouw!O12</f>
        <v>0</v>
      </c>
      <c r="Q48" s="719">
        <f>+landbouw!P12</f>
        <v>0</v>
      </c>
      <c r="R48" s="761">
        <f ca="1">SUM(C48:Q48)</f>
        <v>7715.6468479923424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18460.196694414175</v>
      </c>
      <c r="D53" s="773">
        <f t="shared" ref="D53:Q53" ca="1" si="6">D41+D46+D48</f>
        <v>22.915966386554629</v>
      </c>
      <c r="E53" s="773">
        <f t="shared" ca="1" si="6"/>
        <v>37195.668007717468</v>
      </c>
      <c r="F53" s="773">
        <f t="shared" si="6"/>
        <v>1607.0498057113196</v>
      </c>
      <c r="G53" s="773">
        <f t="shared" ca="1" si="6"/>
        <v>21004.741553817323</v>
      </c>
      <c r="H53" s="773">
        <f t="shared" si="6"/>
        <v>21286.687705515789</v>
      </c>
      <c r="I53" s="773">
        <f t="shared" si="6"/>
        <v>3964.9036222120703</v>
      </c>
      <c r="J53" s="773">
        <f t="shared" si="6"/>
        <v>0</v>
      </c>
      <c r="K53" s="773">
        <f t="shared" si="6"/>
        <v>285.96283562257469</v>
      </c>
      <c r="L53" s="773">
        <f t="shared" si="6"/>
        <v>0</v>
      </c>
      <c r="M53" s="773">
        <f t="shared" ca="1" si="6"/>
        <v>0</v>
      </c>
      <c r="N53" s="773">
        <f t="shared" si="6"/>
        <v>0</v>
      </c>
      <c r="O53" s="773">
        <f t="shared" ca="1" si="6"/>
        <v>0</v>
      </c>
      <c r="P53" s="773">
        <f>P41+P46+P48</f>
        <v>0</v>
      </c>
      <c r="Q53" s="774">
        <f t="shared" si="6"/>
        <v>0</v>
      </c>
      <c r="R53" s="775">
        <f ca="1">R41+R46+R48</f>
        <v>103828.12619139726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0.17583996535999386</v>
      </c>
      <c r="D55" s="836">
        <f t="shared" ca="1" si="7"/>
        <v>1.4646667278958594E-3</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10573.123642252935</v>
      </c>
      <c r="C66" s="795">
        <f>'lokale energieproductie'!B6</f>
        <v>10573.123642252935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10952.1</v>
      </c>
      <c r="C67" s="794">
        <f>B67*IFERROR(SUM(J67:L67)/SUM(D67:M67),0)</f>
        <v>10884.6</v>
      </c>
      <c r="D67" s="826">
        <f>'lokale energieproductie'!C7</f>
        <v>79.411764705882348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12805.411764705885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16.041176470588237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21525.223642252935</v>
      </c>
      <c r="C69" s="803">
        <f>SUM(C64:C68)</f>
        <v>21457.723642252935</v>
      </c>
      <c r="D69" s="804">
        <f t="shared" ref="D69:M69" si="8">SUM(D67:D68)</f>
        <v>79.411764705882348</v>
      </c>
      <c r="E69" s="804">
        <f t="shared" si="8"/>
        <v>0</v>
      </c>
      <c r="F69" s="804">
        <f t="shared" si="8"/>
        <v>0</v>
      </c>
      <c r="G69" s="804">
        <f t="shared" si="8"/>
        <v>0</v>
      </c>
      <c r="H69" s="804">
        <f t="shared" si="8"/>
        <v>0</v>
      </c>
      <c r="I69" s="804">
        <f t="shared" si="8"/>
        <v>0</v>
      </c>
      <c r="J69" s="804">
        <f t="shared" si="8"/>
        <v>0</v>
      </c>
      <c r="K69" s="804">
        <f t="shared" si="8"/>
        <v>12805.411764705885</v>
      </c>
      <c r="L69" s="804">
        <f t="shared" si="8"/>
        <v>0</v>
      </c>
      <c r="M69" s="930">
        <f t="shared" si="8"/>
        <v>0</v>
      </c>
      <c r="N69" s="805">
        <v>0</v>
      </c>
      <c r="O69" s="805">
        <f>SUM(O67:O68)</f>
        <v>16.041176470588237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15645.857142857143</v>
      </c>
      <c r="C78" s="817">
        <f>B78*IFERROR(SUM(I78:L78)/SUM(D78:M78),0)</f>
        <v>15549.428571428572</v>
      </c>
      <c r="D78" s="832">
        <f>'lokale energieproductie'!C16</f>
        <v>113.44537815126051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18293.445378151264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22.915966386554626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15645.857142857143</v>
      </c>
      <c r="C81" s="803">
        <f>SUM(C78:C80)</f>
        <v>15549.428571428572</v>
      </c>
      <c r="D81" s="803">
        <f t="shared" ref="D81:P81" si="9">SUM(D78:D80)</f>
        <v>113.44537815126051</v>
      </c>
      <c r="E81" s="803">
        <f t="shared" si="9"/>
        <v>0</v>
      </c>
      <c r="F81" s="803">
        <f t="shared" si="9"/>
        <v>0</v>
      </c>
      <c r="G81" s="803">
        <f t="shared" si="9"/>
        <v>0</v>
      </c>
      <c r="H81" s="803">
        <f t="shared" si="9"/>
        <v>0</v>
      </c>
      <c r="I81" s="803">
        <f t="shared" si="9"/>
        <v>0</v>
      </c>
      <c r="J81" s="803">
        <f t="shared" si="9"/>
        <v>0</v>
      </c>
      <c r="K81" s="803">
        <f t="shared" si="9"/>
        <v>18293.445378151264</v>
      </c>
      <c r="L81" s="803">
        <f t="shared" si="9"/>
        <v>0</v>
      </c>
      <c r="M81" s="803">
        <f t="shared" si="9"/>
        <v>0</v>
      </c>
      <c r="N81" s="803">
        <v>0</v>
      </c>
      <c r="O81" s="803">
        <f>SUM(O78:O80)</f>
        <v>22.915966386554626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28078.62283438741</v>
      </c>
      <c r="C4" s="478">
        <f>huishoudens!C8</f>
        <v>0</v>
      </c>
      <c r="D4" s="478">
        <f>huishoudens!D8</f>
        <v>42510.284938000004</v>
      </c>
      <c r="E4" s="478">
        <f>huishoudens!E8</f>
        <v>4557.3494730858802</v>
      </c>
      <c r="F4" s="478">
        <f>huishoudens!F8</f>
        <v>39022.907299014005</v>
      </c>
      <c r="G4" s="478">
        <f>huishoudens!G8</f>
        <v>0</v>
      </c>
      <c r="H4" s="478">
        <f>huishoudens!H8</f>
        <v>0</v>
      </c>
      <c r="I4" s="478">
        <f>huishoudens!I8</f>
        <v>0</v>
      </c>
      <c r="J4" s="478">
        <f>huishoudens!J8</f>
        <v>0</v>
      </c>
      <c r="K4" s="478">
        <f>huishoudens!K8</f>
        <v>0</v>
      </c>
      <c r="L4" s="478">
        <f>huishoudens!L8</f>
        <v>0</v>
      </c>
      <c r="M4" s="478">
        <f>huishoudens!M8</f>
        <v>0</v>
      </c>
      <c r="N4" s="478">
        <f>huishoudens!N8</f>
        <v>13590.33176334929</v>
      </c>
      <c r="O4" s="478">
        <f>huishoudens!O8</f>
        <v>345.49666666666667</v>
      </c>
      <c r="P4" s="479">
        <f>huishoudens!P8</f>
        <v>877.06666666666661</v>
      </c>
      <c r="Q4" s="480">
        <f>SUM(B4:P4)</f>
        <v>128982.05964116991</v>
      </c>
    </row>
    <row r="5" spans="1:17">
      <c r="A5" s="477" t="s">
        <v>156</v>
      </c>
      <c r="B5" s="478">
        <f ca="1">tertiair!B16</f>
        <v>32826.700000000004</v>
      </c>
      <c r="C5" s="478">
        <f ca="1">tertiair!C16</f>
        <v>96.428571428571431</v>
      </c>
      <c r="D5" s="478">
        <f ca="1">tertiair!D16</f>
        <v>20152.698153142857</v>
      </c>
      <c r="E5" s="478">
        <f>tertiair!E16</f>
        <v>631.20432086491439</v>
      </c>
      <c r="F5" s="478">
        <f ca="1">tertiair!F16</f>
        <v>7850.6067070267054</v>
      </c>
      <c r="G5" s="478">
        <f>tertiair!G16</f>
        <v>0</v>
      </c>
      <c r="H5" s="478">
        <f>tertiair!H16</f>
        <v>0</v>
      </c>
      <c r="I5" s="478">
        <f>tertiair!I16</f>
        <v>0</v>
      </c>
      <c r="J5" s="478">
        <f>tertiair!J16</f>
        <v>0</v>
      </c>
      <c r="K5" s="478">
        <f>tertiair!K16</f>
        <v>0</v>
      </c>
      <c r="L5" s="478">
        <f ca="1">tertiair!L16</f>
        <v>0</v>
      </c>
      <c r="M5" s="478">
        <f>tertiair!M16</f>
        <v>0</v>
      </c>
      <c r="N5" s="478">
        <f ca="1">tertiair!N16</f>
        <v>3990.8485543335341</v>
      </c>
      <c r="O5" s="478">
        <f>tertiair!O16</f>
        <v>4.6900000000000004</v>
      </c>
      <c r="P5" s="479">
        <f>tertiair!P16</f>
        <v>76.266666666666666</v>
      </c>
      <c r="Q5" s="477">
        <f t="shared" ref="Q5:Q13" ca="1" si="0">SUM(B5:P5)</f>
        <v>65629.442973463258</v>
      </c>
    </row>
    <row r="6" spans="1:17">
      <c r="A6" s="477" t="s">
        <v>194</v>
      </c>
      <c r="B6" s="478">
        <f>'openbare verlichting'!B8</f>
        <v>1190.0419999999999</v>
      </c>
      <c r="C6" s="478"/>
      <c r="D6" s="478"/>
      <c r="E6" s="478"/>
      <c r="F6" s="478"/>
      <c r="G6" s="478"/>
      <c r="H6" s="478"/>
      <c r="I6" s="478"/>
      <c r="J6" s="478"/>
      <c r="K6" s="478"/>
      <c r="L6" s="478"/>
      <c r="M6" s="478"/>
      <c r="N6" s="478"/>
      <c r="O6" s="478"/>
      <c r="P6" s="479"/>
      <c r="Q6" s="477">
        <f t="shared" si="0"/>
        <v>1190.0419999999999</v>
      </c>
    </row>
    <row r="7" spans="1:17">
      <c r="A7" s="477" t="s">
        <v>112</v>
      </c>
      <c r="B7" s="478">
        <f>landbouw!B8</f>
        <v>5553.1009999999997</v>
      </c>
      <c r="C7" s="478">
        <f>landbouw!C8</f>
        <v>15549.428571428572</v>
      </c>
      <c r="D7" s="478">
        <f>landbouw!D8</f>
        <v>4858.6004500000008</v>
      </c>
      <c r="E7" s="478">
        <f>landbouw!E8</f>
        <v>143.19315334723342</v>
      </c>
      <c r="F7" s="478">
        <f>landbouw!F8</f>
        <v>20297.641691713339</v>
      </c>
      <c r="G7" s="478">
        <f>landbouw!G8</f>
        <v>0</v>
      </c>
      <c r="H7" s="478">
        <f>landbouw!H8</f>
        <v>0</v>
      </c>
      <c r="I7" s="478">
        <f>landbouw!I8</f>
        <v>0</v>
      </c>
      <c r="J7" s="478">
        <f>landbouw!J8</f>
        <v>799.44226397781517</v>
      </c>
      <c r="K7" s="478">
        <f>landbouw!K8</f>
        <v>0</v>
      </c>
      <c r="L7" s="478">
        <f>landbouw!L8</f>
        <v>0</v>
      </c>
      <c r="M7" s="478">
        <f>landbouw!M8</f>
        <v>0</v>
      </c>
      <c r="N7" s="478">
        <f>landbouw!N8</f>
        <v>0</v>
      </c>
      <c r="O7" s="478">
        <f>landbouw!O8</f>
        <v>0</v>
      </c>
      <c r="P7" s="479">
        <f>landbouw!P8</f>
        <v>0</v>
      </c>
      <c r="Q7" s="477">
        <f t="shared" si="0"/>
        <v>47201.407130466956</v>
      </c>
    </row>
    <row r="8" spans="1:17">
      <c r="A8" s="477" t="s">
        <v>638</v>
      </c>
      <c r="B8" s="478">
        <f>industrie!B18</f>
        <v>37307.994000000006</v>
      </c>
      <c r="C8" s="478">
        <f>industrie!C18</f>
        <v>0</v>
      </c>
      <c r="D8" s="478">
        <f>industrie!D18</f>
        <v>116556.13692799999</v>
      </c>
      <c r="E8" s="478">
        <f>industrie!E18</f>
        <v>1519.1058906784338</v>
      </c>
      <c r="F8" s="478">
        <f>industrie!F18</f>
        <v>11498.288324033671</v>
      </c>
      <c r="G8" s="478">
        <f>industrie!G18</f>
        <v>0</v>
      </c>
      <c r="H8" s="478">
        <f>industrie!H18</f>
        <v>0</v>
      </c>
      <c r="I8" s="478">
        <f>industrie!I18</f>
        <v>0</v>
      </c>
      <c r="J8" s="478">
        <f>industrie!J18</f>
        <v>8.3623564249382643</v>
      </c>
      <c r="K8" s="478">
        <f>industrie!K18</f>
        <v>0</v>
      </c>
      <c r="L8" s="478">
        <f>industrie!L18</f>
        <v>0</v>
      </c>
      <c r="M8" s="478">
        <f>industrie!M18</f>
        <v>0</v>
      </c>
      <c r="N8" s="478">
        <f>industrie!N18</f>
        <v>10881.494908090554</v>
      </c>
      <c r="O8" s="478">
        <f>industrie!O18</f>
        <v>0</v>
      </c>
      <c r="P8" s="479">
        <f>industrie!P18</f>
        <v>0</v>
      </c>
      <c r="Q8" s="477">
        <f t="shared" si="0"/>
        <v>177771.38240722762</v>
      </c>
    </row>
    <row r="9" spans="1:17" s="483" customFormat="1">
      <c r="A9" s="481" t="s">
        <v>564</v>
      </c>
      <c r="B9" s="482">
        <f>transport!B14</f>
        <v>26.481083628364242</v>
      </c>
      <c r="C9" s="482">
        <f>transport!C14</f>
        <v>0</v>
      </c>
      <c r="D9" s="482">
        <f>transport!D14</f>
        <v>59.249866092101719</v>
      </c>
      <c r="E9" s="482">
        <f>transport!E14</f>
        <v>228.66172462847075</v>
      </c>
      <c r="F9" s="482">
        <f>transport!F14</f>
        <v>0</v>
      </c>
      <c r="G9" s="482">
        <f>transport!G14</f>
        <v>77589.011545114088</v>
      </c>
      <c r="H9" s="482">
        <f>transport!H14</f>
        <v>15923.30771972719</v>
      </c>
      <c r="I9" s="482">
        <f>transport!I14</f>
        <v>0</v>
      </c>
      <c r="J9" s="482">
        <f>transport!J14</f>
        <v>0</v>
      </c>
      <c r="K9" s="482">
        <f>transport!K14</f>
        <v>0</v>
      </c>
      <c r="L9" s="482">
        <f>transport!L14</f>
        <v>0</v>
      </c>
      <c r="M9" s="482">
        <f>transport!M14</f>
        <v>2921.5506323091727</v>
      </c>
      <c r="N9" s="482">
        <f>transport!N14</f>
        <v>0</v>
      </c>
      <c r="O9" s="482">
        <f>transport!O14</f>
        <v>0</v>
      </c>
      <c r="P9" s="482">
        <f>transport!P14</f>
        <v>0</v>
      </c>
      <c r="Q9" s="481">
        <f>SUM(B9:P9)</f>
        <v>96748.262571499392</v>
      </c>
    </row>
    <row r="10" spans="1:17">
      <c r="A10" s="477" t="s">
        <v>554</v>
      </c>
      <c r="B10" s="478">
        <f>transport!B54</f>
        <v>0</v>
      </c>
      <c r="C10" s="478">
        <f>transport!C54</f>
        <v>0</v>
      </c>
      <c r="D10" s="478">
        <f>transport!D54</f>
        <v>0</v>
      </c>
      <c r="E10" s="478">
        <f>transport!E54</f>
        <v>0</v>
      </c>
      <c r="F10" s="478">
        <f>transport!F54</f>
        <v>0</v>
      </c>
      <c r="G10" s="478">
        <f>transport!G54</f>
        <v>2136.4105729225703</v>
      </c>
      <c r="H10" s="478">
        <f>transport!H54</f>
        <v>0</v>
      </c>
      <c r="I10" s="478">
        <f>transport!I54</f>
        <v>0</v>
      </c>
      <c r="J10" s="478">
        <f>transport!J54</f>
        <v>0</v>
      </c>
      <c r="K10" s="478">
        <f>transport!K54</f>
        <v>0</v>
      </c>
      <c r="L10" s="478">
        <f>transport!L54</f>
        <v>0</v>
      </c>
      <c r="M10" s="478">
        <f>transport!M54</f>
        <v>66.266676432591481</v>
      </c>
      <c r="N10" s="478">
        <f>transport!N54</f>
        <v>0</v>
      </c>
      <c r="O10" s="478">
        <f>transport!O54</f>
        <v>0</v>
      </c>
      <c r="P10" s="479">
        <f>transport!P54</f>
        <v>0</v>
      </c>
      <c r="Q10" s="477">
        <f t="shared" si="0"/>
        <v>2202.6772493551616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104982.94091801578</v>
      </c>
      <c r="C14" s="488">
        <f t="shared" ref="C14:Q14" ca="1" si="1">SUM(C4:C13)</f>
        <v>15645.857142857143</v>
      </c>
      <c r="D14" s="488">
        <f t="shared" ca="1" si="1"/>
        <v>184136.97033523495</v>
      </c>
      <c r="E14" s="488">
        <f t="shared" si="1"/>
        <v>7079.5145626049325</v>
      </c>
      <c r="F14" s="488">
        <f t="shared" ca="1" si="1"/>
        <v>78669.444021787727</v>
      </c>
      <c r="G14" s="488">
        <f t="shared" si="1"/>
        <v>79725.422118036659</v>
      </c>
      <c r="H14" s="488">
        <f t="shared" si="1"/>
        <v>15923.30771972719</v>
      </c>
      <c r="I14" s="488">
        <f t="shared" si="1"/>
        <v>0</v>
      </c>
      <c r="J14" s="488">
        <f t="shared" si="1"/>
        <v>807.80462040275347</v>
      </c>
      <c r="K14" s="488">
        <f t="shared" si="1"/>
        <v>0</v>
      </c>
      <c r="L14" s="488">
        <f t="shared" ca="1" si="1"/>
        <v>0</v>
      </c>
      <c r="M14" s="488">
        <f t="shared" si="1"/>
        <v>2987.817308741764</v>
      </c>
      <c r="N14" s="488">
        <f t="shared" ca="1" si="1"/>
        <v>28462.675225773379</v>
      </c>
      <c r="O14" s="488">
        <f t="shared" si="1"/>
        <v>350.18666666666667</v>
      </c>
      <c r="P14" s="489">
        <f t="shared" si="1"/>
        <v>953.33333333333326</v>
      </c>
      <c r="Q14" s="489">
        <f t="shared" ca="1" si="1"/>
        <v>519725.27397318231</v>
      </c>
    </row>
    <row r="16" spans="1:17">
      <c r="A16" s="491" t="s">
        <v>559</v>
      </c>
      <c r="B16" s="841">
        <f ca="1">huishoudens!B10</f>
        <v>0.17583996535999386</v>
      </c>
      <c r="C16" s="841">
        <f ca="1">huishoudens!C10</f>
        <v>1.4646667278958591E-3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4937.3440665550143</v>
      </c>
      <c r="C21" s="478">
        <f t="shared" ref="C21:C30" ca="1" si="3">C4*$C$16</f>
        <v>0</v>
      </c>
      <c r="D21" s="478">
        <f t="shared" ref="D21:D30" si="4">D4*$D$16</f>
        <v>8587.0775574760009</v>
      </c>
      <c r="E21" s="478">
        <f t="shared" ref="E21:E30" si="5">E4*$E$16</f>
        <v>1034.5183303904948</v>
      </c>
      <c r="F21" s="478">
        <f t="shared" ref="F21:F30" si="6">F4*$F$16</f>
        <v>10419.116248836739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24978.056203258249</v>
      </c>
    </row>
    <row r="22" spans="1:17">
      <c r="A22" s="477" t="s">
        <v>156</v>
      </c>
      <c r="B22" s="478">
        <f t="shared" ca="1" si="2"/>
        <v>5772.245790882911</v>
      </c>
      <c r="C22" s="478">
        <f t="shared" ca="1" si="3"/>
        <v>0.14123572018995784</v>
      </c>
      <c r="D22" s="478">
        <f t="shared" ca="1" si="4"/>
        <v>4070.8450269348573</v>
      </c>
      <c r="E22" s="478">
        <f t="shared" si="5"/>
        <v>143.28338083633557</v>
      </c>
      <c r="F22" s="478">
        <f t="shared" ca="1" si="6"/>
        <v>2096.1119907761304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12082.627425150426</v>
      </c>
    </row>
    <row r="23" spans="1:17">
      <c r="A23" s="477" t="s">
        <v>194</v>
      </c>
      <c r="B23" s="478">
        <f t="shared" ca="1" si="2"/>
        <v>209.25694405693778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209.25694405693778</v>
      </c>
    </row>
    <row r="24" spans="1:17">
      <c r="A24" s="477" t="s">
        <v>112</v>
      </c>
      <c r="B24" s="478">
        <f t="shared" ca="1" si="2"/>
        <v>976.45708748054722</v>
      </c>
      <c r="C24" s="478">
        <f t="shared" ca="1" si="3"/>
        <v>22.774730666364672</v>
      </c>
      <c r="D24" s="478">
        <f t="shared" si="4"/>
        <v>981.43729090000022</v>
      </c>
      <c r="E24" s="478">
        <f t="shared" si="5"/>
        <v>32.504845809821987</v>
      </c>
      <c r="F24" s="478">
        <f t="shared" si="6"/>
        <v>5419.470331687462</v>
      </c>
      <c r="G24" s="478">
        <f t="shared" si="7"/>
        <v>0</v>
      </c>
      <c r="H24" s="478">
        <f t="shared" si="8"/>
        <v>0</v>
      </c>
      <c r="I24" s="478">
        <f t="shared" si="9"/>
        <v>0</v>
      </c>
      <c r="J24" s="478">
        <f t="shared" si="10"/>
        <v>283.00256144814654</v>
      </c>
      <c r="K24" s="478">
        <f t="shared" si="11"/>
        <v>0</v>
      </c>
      <c r="L24" s="478">
        <f t="shared" si="12"/>
        <v>0</v>
      </c>
      <c r="M24" s="478">
        <f t="shared" si="13"/>
        <v>0</v>
      </c>
      <c r="N24" s="478">
        <f t="shared" si="14"/>
        <v>0</v>
      </c>
      <c r="O24" s="478">
        <f t="shared" si="15"/>
        <v>0</v>
      </c>
      <c r="P24" s="479">
        <f t="shared" si="16"/>
        <v>0</v>
      </c>
      <c r="Q24" s="477">
        <f t="shared" ca="1" si="17"/>
        <v>7715.6468479923424</v>
      </c>
    </row>
    <row r="25" spans="1:17">
      <c r="A25" s="477" t="s">
        <v>638</v>
      </c>
      <c r="B25" s="478">
        <f t="shared" ca="1" si="2"/>
        <v>6560.2363726108597</v>
      </c>
      <c r="C25" s="478">
        <f t="shared" ca="1" si="3"/>
        <v>0</v>
      </c>
      <c r="D25" s="478">
        <f t="shared" si="4"/>
        <v>23544.339659456</v>
      </c>
      <c r="E25" s="478">
        <f t="shared" si="5"/>
        <v>344.83703718400449</v>
      </c>
      <c r="F25" s="478">
        <f t="shared" si="6"/>
        <v>3070.0429825169904</v>
      </c>
      <c r="G25" s="478">
        <f t="shared" si="7"/>
        <v>0</v>
      </c>
      <c r="H25" s="478">
        <f t="shared" si="8"/>
        <v>0</v>
      </c>
      <c r="I25" s="478">
        <f t="shared" si="9"/>
        <v>0</v>
      </c>
      <c r="J25" s="478">
        <f t="shared" si="10"/>
        <v>2.9602741744281453</v>
      </c>
      <c r="K25" s="478">
        <f t="shared" si="11"/>
        <v>0</v>
      </c>
      <c r="L25" s="478">
        <f t="shared" si="12"/>
        <v>0</v>
      </c>
      <c r="M25" s="478">
        <f t="shared" si="13"/>
        <v>0</v>
      </c>
      <c r="N25" s="478">
        <f t="shared" si="14"/>
        <v>0</v>
      </c>
      <c r="O25" s="478">
        <f t="shared" si="15"/>
        <v>0</v>
      </c>
      <c r="P25" s="479">
        <f t="shared" si="16"/>
        <v>0</v>
      </c>
      <c r="Q25" s="477">
        <f t="shared" ca="1" si="17"/>
        <v>33522.416325942286</v>
      </c>
    </row>
    <row r="26" spans="1:17" s="483" customFormat="1">
      <c r="A26" s="481" t="s">
        <v>564</v>
      </c>
      <c r="B26" s="835">
        <f t="shared" ca="1" si="2"/>
        <v>4.6564328279066691</v>
      </c>
      <c r="C26" s="482">
        <f t="shared" ca="1" si="3"/>
        <v>0</v>
      </c>
      <c r="D26" s="482">
        <f t="shared" si="4"/>
        <v>11.968472950604548</v>
      </c>
      <c r="E26" s="482">
        <f t="shared" si="5"/>
        <v>51.906211490662862</v>
      </c>
      <c r="F26" s="482">
        <f t="shared" si="6"/>
        <v>0</v>
      </c>
      <c r="G26" s="482">
        <f t="shared" si="7"/>
        <v>20716.266082545462</v>
      </c>
      <c r="H26" s="482">
        <f t="shared" si="8"/>
        <v>3964.9036222120703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24749.700822026705</v>
      </c>
    </row>
    <row r="27" spans="1:17">
      <c r="A27" s="477" t="s">
        <v>554</v>
      </c>
      <c r="B27" s="478">
        <f t="shared" ca="1" si="2"/>
        <v>0</v>
      </c>
      <c r="C27" s="478">
        <f t="shared" ca="1" si="3"/>
        <v>0</v>
      </c>
      <c r="D27" s="478">
        <f t="shared" si="4"/>
        <v>0</v>
      </c>
      <c r="E27" s="478">
        <f t="shared" si="5"/>
        <v>0</v>
      </c>
      <c r="F27" s="478">
        <f t="shared" si="6"/>
        <v>0</v>
      </c>
      <c r="G27" s="478">
        <f t="shared" si="7"/>
        <v>570.42162297032633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570.42162297032633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18460.196694414175</v>
      </c>
      <c r="C31" s="488">
        <f t="shared" ca="1" si="18"/>
        <v>22.915966386554629</v>
      </c>
      <c r="D31" s="488">
        <f t="shared" ca="1" si="18"/>
        <v>37195.668007717461</v>
      </c>
      <c r="E31" s="488">
        <f t="shared" si="18"/>
        <v>1607.0498057113196</v>
      </c>
      <c r="F31" s="488">
        <f t="shared" ca="1" si="18"/>
        <v>21004.741553817323</v>
      </c>
      <c r="G31" s="488">
        <f t="shared" si="18"/>
        <v>21286.687705515789</v>
      </c>
      <c r="H31" s="488">
        <f t="shared" si="18"/>
        <v>3964.9036222120703</v>
      </c>
      <c r="I31" s="488">
        <f t="shared" si="18"/>
        <v>0</v>
      </c>
      <c r="J31" s="488">
        <f t="shared" si="18"/>
        <v>285.96283562257469</v>
      </c>
      <c r="K31" s="488">
        <f t="shared" si="18"/>
        <v>0</v>
      </c>
      <c r="L31" s="488">
        <f t="shared" ca="1" si="18"/>
        <v>0</v>
      </c>
      <c r="M31" s="488">
        <f t="shared" si="18"/>
        <v>0</v>
      </c>
      <c r="N31" s="488">
        <f t="shared" ca="1" si="18"/>
        <v>0</v>
      </c>
      <c r="O31" s="488">
        <f t="shared" si="18"/>
        <v>0</v>
      </c>
      <c r="P31" s="489">
        <f t="shared" si="18"/>
        <v>0</v>
      </c>
      <c r="Q31" s="489">
        <f t="shared" ca="1" si="18"/>
        <v>103828.12619139727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0.17583996535999386</v>
      </c>
      <c r="C17" s="528">
        <f ca="1">'EF ele_warmte'!B22</f>
        <v>1.4646667278958591E-3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0.17583996535999386</v>
      </c>
      <c r="C17" s="528">
        <f ca="1">'EF ele_warmte'!B22</f>
        <v>1.4646667278958591E-3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0.17583996535999386</v>
      </c>
      <c r="C29" s="529">
        <f ca="1">'EF ele_warmte'!B22</f>
        <v>1.4646667278958591E-3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2018-06-27T09:44:40Z</dcterms:modified>
</cp:coreProperties>
</file>