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N16" i="16"/>
  <c r="D16"/>
  <c r="D8" i="17"/>
  <c r="D6"/>
  <c r="J15" i="16"/>
  <c r="B8" i="9"/>
  <c r="B6" i="48" s="1"/>
  <c r="Q6" s="1"/>
  <c r="C16" i="15"/>
  <c r="D10" i="14" s="1"/>
  <c r="I8" i="18"/>
  <c r="J68" i="14" s="1"/>
  <c r="I14" i="15"/>
  <c r="I16" s="1"/>
  <c r="J10" i="14" s="1"/>
  <c r="J15" s="1"/>
  <c r="B13" i="16"/>
  <c r="C35"/>
  <c r="E9" i="14"/>
  <c r="D14" i="15"/>
  <c r="P22" i="16"/>
  <c r="Q39" i="14" s="1"/>
  <c r="P18" i="16"/>
  <c r="P8" i="48" s="1"/>
  <c r="P25" s="1"/>
  <c r="N6" i="17"/>
  <c r="N5" s="1"/>
  <c r="J8"/>
  <c r="K22" i="14" s="1"/>
  <c r="F8" i="17"/>
  <c r="N13" i="15"/>
  <c r="L13"/>
  <c r="L16" s="1"/>
  <c r="F13"/>
  <c r="D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Q13"/>
  <c r="E8" i="17"/>
  <c r="F22" i="14" s="1"/>
  <c r="O22" i="16"/>
  <c r="P39" i="14" s="1"/>
  <c r="O18" i="16"/>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N7" l="1"/>
  <c r="N24" s="1"/>
  <c r="H14" i="22"/>
  <c r="P41" i="14"/>
  <c r="P53" s="1"/>
  <c r="D8" i="48"/>
  <c r="D25" s="1"/>
  <c r="E16" i="15"/>
  <c r="E20" s="1"/>
  <c r="F36" i="14" s="1"/>
  <c r="J16" i="15"/>
  <c r="K10" i="14" s="1"/>
  <c r="O22"/>
  <c r="L7" i="48"/>
  <c r="L24" s="1"/>
  <c r="M22" i="14"/>
  <c r="P15"/>
  <c r="P23" s="1"/>
  <c r="P55" s="1"/>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M9" i="48"/>
  <c r="N19" i="14"/>
  <c r="N20" s="1"/>
  <c r="N23" s="1"/>
  <c r="P14" i="48"/>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0" i="13" s="1"/>
  <c r="C16" i="48" s="1"/>
  <c r="C30" s="1"/>
  <c r="F10" i="14"/>
  <c r="R10" s="1"/>
  <c r="J20" i="15"/>
  <c r="K36" i="14" s="1"/>
  <c r="M16" i="18"/>
  <c r="M19" s="1"/>
  <c r="J5" i="48"/>
  <c r="J22" s="1"/>
  <c r="E5"/>
  <c r="E22"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C18" i="15"/>
  <c r="C20" s="1"/>
  <c r="D36" i="14" s="1"/>
  <c r="C20" i="16"/>
  <c r="C22" s="1"/>
  <c r="D39" i="14" s="1"/>
  <c r="C17" i="19"/>
  <c r="C19" s="1"/>
  <c r="D35" i="14" s="1"/>
  <c r="C29" i="20"/>
  <c r="F22" i="16"/>
  <c r="G39" i="14" s="1"/>
  <c r="G41" s="1"/>
  <c r="N22" i="16"/>
  <c r="O39" i="14" s="1"/>
  <c r="O41" s="1"/>
  <c r="F8" i="48"/>
  <c r="Q4"/>
  <c r="N22"/>
  <c r="R11" i="14"/>
  <c r="J21" i="48"/>
  <c r="C17" i="49" l="1"/>
  <c r="J8" i="48"/>
  <c r="J25" s="1"/>
  <c r="C56" i="22"/>
  <c r="C58" s="1"/>
  <c r="D44" i="14" s="1"/>
  <c r="D46" s="1"/>
  <c r="C10" i="17"/>
  <c r="C12" s="1"/>
  <c r="D48" i="14" s="1"/>
  <c r="Q5" i="48"/>
  <c r="C16" i="22"/>
  <c r="O13" i="14"/>
  <c r="O15" s="1"/>
  <c r="F13"/>
  <c r="F15" s="1"/>
  <c r="F23" s="1"/>
  <c r="N25" i="48"/>
  <c r="N31" s="1"/>
  <c r="N14"/>
  <c r="E25"/>
  <c r="E31" s="1"/>
  <c r="E14"/>
  <c r="K13" i="14"/>
  <c r="K15" s="1"/>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K55" i="14"/>
  <c r="R13"/>
  <c r="R15" s="1"/>
  <c r="F25" i="48"/>
  <c r="F31" s="1"/>
  <c r="F14"/>
  <c r="Q8" l="1"/>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<sst xmlns="http://schemas.openxmlformats.org/spreadsheetml/2006/main" count="1933" uniqueCount="824">
  <si>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</si>
  <si>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</si>
  <si>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</si>
  <si>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</si>
  <si>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</si>
  <si>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</si>
  <si>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</si>
  <si>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</si>
  <si>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</si>
  <si>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</si>
  <si>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</si>
  <si>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</si>
  <si>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</si>
  <si>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</si>
  <si>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</si>
  <si>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</si>
  <si>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</si>
  <si>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</si>
  <si>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</si>
  <si>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</si>
  <si>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</si>
  <si>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</si>
  <si>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</si>
  <si>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</si>
  <si>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</si>
  <si>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</si>
  <si>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</si>
  <si>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</si>
  <si>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</si>
  <si>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</si>
  <si>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</si>
  <si>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</si>
  <si>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</si>
  <si>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</si>
  <si>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</si>
  <si>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</si>
  <si>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</si>
  <si>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</si>
  <si>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</si>
  <si>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</si>
  <si>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</si>
  <si>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</si>
  <si>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</si>
  <si>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</si>
  <si>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</si>
  <si>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</si>
  <si>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</si>
  <si>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</si>
  <si>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</si>
  <si>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</si>
  <si>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</si>
  <si>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</si>
  <si>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</si>
  <si>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</si>
  <si>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</si>
  <si>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</si>
  <si>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</si>
  <si>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</si>
  <si>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</si>
  <si>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</si>
  <si>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</si>
  <si>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</si>
  <si>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</si>
  <si>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</si>
  <si>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</si>
  <si>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</si>
  <si>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</si>
  <si>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</si>
  <si>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</si>
  <si>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</si>
  <si>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</si>
  <si>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</si>
  <si>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</si>
  <si>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</si>
  <si>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</si>
  <si>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</si>
  <si>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</si>
  <si>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</si>
  <si>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</si>
  <si>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</si>
  <si>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</si>
  <si>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</si>
  <si>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</si>
  <si>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</si>
  <si>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</si>
  <si>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</si>
  <si>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</si>
  <si>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</si>
  <si>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</si>
  <si>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</si>
  <si>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</si>
  <si>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</si>
  <si>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</si>
  <si>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</si>
  <si>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</si>
  <si>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</si>
  <si>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</si>
  <si>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</si>
  <si>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</si>
  <si>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</si>
  <si>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</si>
  <si>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</si>
  <si>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</si>
  <si>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</si>
  <si>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</si>
  <si>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</si>
  <si>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</si>
  <si>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</si>
  <si>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</si>
  <si>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</si>
  <si>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</si>
  <si>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</si>
  <si>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</si>
  <si>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</si>
  <si>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</si>
  <si>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</si>
  <si>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</si>
  <si>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</si>
  <si>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</si>
  <si>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</si>
  <si>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</si>
  <si>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</si>
  <si>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</si>
  <si>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</si>
  <si>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</si>
  <si>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</si>
  <si>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</si>
  <si>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</si>
  <si>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</si>
  <si>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</si>
  <si>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</si>
  <si>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</si>
  <si>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</si>
  <si>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</si>
  <si>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</si>
  <si>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</si>
  <si>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</si>
  <si>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</si>
  <si>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</si>
  <si>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</si>
  <si>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</si>
  <si>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</si>
  <si>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</si>
  <si>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</si>
  <si>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</si>
  <si>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</si>
  <si>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</si>
  <si>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</si>
  <si>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</si>
  <si>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</si>
  <si>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</si>
  <si>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</si>
  <si>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</si>
  <si>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</si>
  <si>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</si>
  <si>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</si>
  <si>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</si>
  <si>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</si>
  <si>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</si>
  <si>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</si>
  <si>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</si>
  <si>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</si>
  <si>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</si>
  <si>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</si>
  <si>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</si>
  <si>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</si>
  <si>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</si>
  <si>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</si>
  <si>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</si>
  <si>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</si>
  <si>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</si>
  <si>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</si>
  <si>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</si>
  <si>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</si>
  <si>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</si>
  <si>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</si>
  <si>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</si>
  <si>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</si>
  <si>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</si>
  <si>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</si>
  <si>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</si>
  <si>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</si>
  <si>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</si>
  <si>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</si>
  <si>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</si>
  <si>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</si>
  <si>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</si>
  <si>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</si>
  <si>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</si>
  <si>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</si>
  <si>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</si>
  <si>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</si>
  <si>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</si>
  <si>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</si>
  <si>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</si>
  <si>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</si>
  <si>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</si>
  <si>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</si>
  <si>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</si>
  <si>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</si>
  <si>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</si>
  <si>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</si>
  <si>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</si>
  <si>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</si>
  <si>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</si>
  <si>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</si>
  <si>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</si>
  <si>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</si>
  <si>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</si>
  <si>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</si>
  <si>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</si>
  <si>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</si>
  <si>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</si>
  <si>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</si>
  <si>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</si>
  <si>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</si>
  <si>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</si>
  <si>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</si>
  <si>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</si>
  <si>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</si>
  <si>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</si>
  <si>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</si>
  <si>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</si>
  <si>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</si>
  <si>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</si>
  <si>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</si>
  <si>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</si>
  <si>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</si>
  <si>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</si>
  <si>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</si>
  <si>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</si>
  <si>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</si>
  <si>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</si>
  <si>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</si>
  <si>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</si>
  <si>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</si>
  <si>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</si>
  <si>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</si>
  <si>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</si>
  <si>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</si>
  <si>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</si>
  <si>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</si>
  <si>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</si>
  <si>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</si>
  <si>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</si>
  <si>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</si>
  <si>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</si>
  <si>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</si>
  <si>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</si>
  <si>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</si>
  <si>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</si>
  <si>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</si>
  <si>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</si>
  <si>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</si>
  <si>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</si>
  <si>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</si>
  <si>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</si>
  <si>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</si>
  <si>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</si>
  <si>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</si>
  <si>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</si>
  <si>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</si>
  <si>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</si>
  <si>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</si>
  <si>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</si>
  <si>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</si>
  <si>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</si>
  <si>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</si>
  <si>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</si>
  <si>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</si>
  <si>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</si>
  <si>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</si>
  <si>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</si>
  <si>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</si>
  <si>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</si>
  <si>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</si>
  <si>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</si>
  <si>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</si>
  <si>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</si>
  <si>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</si>
  <si>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</si>
  <si>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</si>
  <si>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</si>
  <si>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</si>
  <si>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</si>
  <si>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</si>
  <si>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</si>
  <si>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</si>
  <si>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</si>
  <si>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</si>
  <si>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</si>
  <si>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</si>
  <si>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</si>
  <si>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</si>
  <si>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</si>
  <si>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</si>
  <si>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</si>
  <si>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</si>
  <si>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</si>
  <si>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</si>
  <si>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</si>
  <si>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</si>
  <si>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</si>
  <si>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</si>
  <si>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</si>
  <si>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</si>
  <si>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</si>
  <si>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</si>
  <si>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</si>
  <si>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</si>
  <si>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</si>
  <si>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</si>
  <si>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</si>
  <si>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</si>
  <si>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</si>
  <si>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</si>
  <si>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</si>
  <si>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</si>
  <si>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</si>
  <si>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</si>
  <si>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</si>
  <si>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</si>
  <si>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</si>
  <si>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</si>
  <si>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</si>
  <si>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</si>
  <si>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</si>
  <si>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</si>
  <si>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</si>
  <si>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</si>
  <si>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</si>
  <si>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</si>
  <si>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</si>
  <si>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</si>
  <si>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</si>
  <si>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</si>
  <si>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</si>
  <si>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</si>
  <si>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</si>
  <si>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</si>
  <si>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</si>
  <si>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</si>
  <si>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</si>
  <si>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</si>
  <si>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</si>
  <si>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</si>
  <si>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</si>
  <si>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</si>
  <si>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</si>
  <si>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</si>
  <si>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</si>
  <si>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</si>
  <si>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</si>
  <si>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</si>
  <si>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</si>
  <si>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</si>
  <si>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</si>
  <si>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</si>
  <si>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</si>
  <si>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</si>
  <si>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</si>
  <si>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</si>
  <si>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</si>
  <si>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</si>
  <si>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</si>
  <si>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</si>
  <si>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</si>
  <si>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</si>
  <si>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</si>
  <si>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</si>
  <si>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</si>
  <si>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</si>
  <si>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</si>
  <si>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</si>
  <si>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</si>
  <si>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</si>
  <si>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</si>
  <si>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</si>
  <si>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</si>
  <si>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</si>
  <si>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</si>
  <si>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</si>
  <si>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</si>
  <si>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</si>
  <si>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</si>
  <si>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</si>
  <si>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</si>
  <si>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</si>
  <si>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</si>
  <si>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</si>
  <si>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</si>
  <si>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</si>
  <si>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</si>
  <si>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</si>
  <si>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</si>
  <si>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</si>
  <si>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</si>
  <si>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</si>
  <si>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</si>
  <si>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</si>
  <si>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</si>
  <si>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</si>
  <si>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</si>
  <si>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</si>
  <si>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</si>
  <si>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</si>
  <si>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</si>
  <si>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</si>
  <si>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</si>
  <si>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</si>
  <si>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</si>
  <si>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</si>
  <si>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</si>
  <si>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</si>
  <si>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</si>
  <si>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</si>
  <si>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</si>
  <si>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</si>
  <si>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</si>
  <si>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</si>
  <si>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</si>
  <si>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</si>
  <si>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</si>
  <si>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</si>
  <si>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</si>
  <si>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</si>
  <si>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</si>
  <si>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</si>
  <si>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</si>
  <si>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</si>
  <si>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</si>
  <si>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</si>
  <si>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</si>
  <si>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</si>
  <si>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</si>
  <si>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</si>
  <si>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</si>
  <si>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</si>
  <si>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</si>
  <si>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</si>
  <si>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</si>
  <si>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</si>
  <si>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</si>
  <si>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</si>
  <si>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</si>
  <si>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</si>
  <si>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</si>
  <si>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</si>
  <si>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</si>
  <si>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</si>
  <si>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</si>
  <si>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</si>
  <si>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</si>
  <si>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</si>
  <si>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</si>
  <si>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</si>
  <si>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</si>
  <si>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</si>
  <si>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</si>
  <si>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</si>
  <si>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</si>
  <si>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</si>
  <si>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</si>
  <si>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</si>
  <si>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</si>
  <si>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</si>
  <si>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</si>
  <si>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</si>
  <si>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</si>
  <si>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</si>
  <si>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</si>
  <si>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</si>
  <si>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</si>
  <si>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</si>
  <si>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</si>
  <si>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</si>
  <si>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</si>
  <si>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</si>
  <si>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</si>
  <si>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</si>
  <si>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</si>
  <si>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</si>
  <si>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</si>
  <si>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</si>
  <si>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</si>
  <si>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</si>
  <si>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</si>
  <si>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</si>
  <si>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</si>
  <si>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</si>
  <si>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</si>
  <si>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</si>
  <si>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</si>
  <si>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</si>
  <si>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</si>
  <si>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</si>
  <si>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</si>
  <si>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</si>
  <si>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</si>
  <si>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</si>
  <si>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</si>
  <si>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</si>
  <si>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</si>
  <si>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</si>
  <si>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</si>
  <si>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</si>
  <si>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</si>
  <si>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</si>
  <si>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</si>
  <si>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</si>
  <si>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</si>
  <si>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</si>
  <si>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</si>
  <si>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</si>
  <si>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</si>
  <si>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</si>
  <si>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</si>
  <si>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</si>
  <si>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</si>
  <si>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</si>
  <si>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</si>
  <si>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</si>
  <si>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</si>
  <si>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</si>
  <si>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</si>
  <si>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</si>
  <si>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</si>
  <si>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</si>
  <si>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</si>
  <si>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</si>
  <si>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</si>
  <si>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</si>
  <si>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</si>
  <si>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</si>
  <si>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</si>
  <si>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</si>
  <si>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</si>
  <si>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</si>
  <si>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</si>
  <si>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</si>
  <si>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</si>
  <si>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</si>
  <si>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</si>
  <si>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</si>
  <si>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</si>
  <si>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</si>
  <si>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</si>
  <si>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</si>
  <si>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</si>
  <si>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</si>
  <si>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</si>
  <si>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</si>
  <si>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</si>
  <si>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</si>
  <si>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</si>
  <si>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</si>
  <si>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</si>
  <si>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</si>
  <si>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</si>
  <si>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</si>
  <si>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</si>
  <si>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</si>
  <si>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</si>
  <si>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</si>
  <si>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</si>
  <si>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</si>
  <si>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</si>
  <si>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</si>
  <si>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</si>
  <si>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</si>
  <si>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</si>
  <si>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</si>
  <si>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</si>
  <si>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</si>
  <si>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</si>
  <si>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</si>
  <si>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</si>
  <si>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</si>
  <si>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</si>
  <si>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</si>
  <si>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</si>
  <si>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</si>
  <si>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</si>
  <si>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</si>
  <si>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</si>
  <si>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</si>
  <si>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</si>
  <si>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</si>
  <si>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</si>
  <si>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</si>
  <si>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</si>
  <si>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</si>
  <si>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</si>
  <si>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</si>
  <si>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</si>
  <si>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</si>
  <si>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</si>
  <si>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</si>
  <si>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</si>
  <si>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</si>
  <si>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</si>
  <si>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</si>
  <si>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</si>
  <si>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</si>
  <si>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</si>
  <si>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</si>
  <si>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</si>
  <si>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</si>
  <si>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</si>
  <si>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</si>
  <si>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</si>
  <si>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</si>
  <si>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</si>
  <si>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</si>
  <si>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</si>
  <si>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</si>
  <si>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</si>
  <si>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</si>
  <si>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</si>
  <si>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</si>
  <si>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</si>
  <si>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</si>
  <si>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</si>
  <si>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</si>
  <si>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</si>
  <si>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</si>
  <si>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</si>
  <si>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</si>
  <si>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</si>
  <si>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</si>
  <si>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</si>
  <si>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</si>
  <si>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</si>
  <si>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</si>
  <si>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</si>
  <si>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</si>
  <si>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</si>
  <si>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</si>
  <si>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</si>
  <si>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</si>
  <si>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</si>
  <si>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</si>
  <si>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</si>
  <si>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</si>
  <si>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</si>
  <si>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</si>
  <si>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</si>
  <si>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</si>
  <si>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</si>
  <si>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</si>
  <si>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</si>
  <si>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</si>
  <si>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</si>
  <si>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</si>
  <si>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</si>
  <si>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</si>
  <si>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</si>
  <si>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</si>
  <si>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</si>
  <si>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</si>
  <si>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</si>
  <si>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</si>
  <si>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</si>
  <si>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</si>
  <si>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</si>
  <si>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</si>
  <si>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</si>
  <si>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</si>
  <si>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</si>
  <si>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</si>
  <si>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</si>
  <si>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</si>
  <si>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</si>
  <si>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</si>
  <si>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</si>
  <si>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</si>
  <si>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</si>
  <si>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</si>
  <si>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</si>
  <si>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</si>
  <si>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</si>
  <si>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</si>
  <si>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</si>
  <si>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</si>
  <si>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</si>
  <si>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</si>
  <si>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</si>
  <si>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</si>
  <si>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</si>
  <si>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</si>
  <si>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</si>
  <si>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</si>
  <si>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</si>
  <si>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</si>
  <si>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</si>
  <si>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</si>
  <si>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</si>
  <si>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</si>
  <si>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</si>
  <si>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</si>
  <si>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</si>
  <si>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</si>
  <si>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</si>
  <si>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</si>
  <si>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</si>
  <si>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</si>
  <si>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</si>
  <si>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</si>
  <si>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</si>
  <si>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</si>
  <si>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</si>
  <si>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</si>
  <si>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</si>
  <si>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</si>
  <si>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</si>
  <si>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</si>
  <si>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</si>
  <si>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</si>
  <si>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</si>
  <si>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</si>
  <si>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</si>
  <si>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</si>
  <si>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</si>
  <si>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</si>
  <si>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</si>
  <si>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</si>
  <si>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</si>
  <si>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</si>
  <si>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</si>
  <si>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</si>
  <si>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</si>
  <si>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</si>
  <si>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</si>
  <si>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</si>
  <si>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</si>
  <si>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</si>
  <si>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</si>
  <si>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</si>
  <si>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</si>
  <si>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</si>
  <si>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</si>
  <si>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</si>
  <si>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</si>
  <si>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</si>
  <si>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</si>
  <si>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</si>
  <si>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</si>
  <si>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</si>
  <si>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</si>
  <si>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</si>
  <si>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</si>
  <si>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</si>
  <si>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</si>
  <si>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</si>
  <si>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</si>
  <si>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</si>
  <si>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</si>
  <si>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</si>
  <si>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</si>
  <si>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</si>
  <si>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</si>
  <si>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</si>
  <si>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</si>
  <si>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</si>
  <si>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</si>
  <si>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</si>
  <si>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</si>
  <si>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</si>
  <si>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</si>
  <si>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</si>
  <si>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</si>
  <si>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</si>
  <si>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</si>
  <si>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</si>
  <si>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</si>
  <si>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</si>
  <si>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</si>
  <si>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</si>
  <si>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</si>
  <si>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</si>
  <si>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</si>
  <si>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</si>
  <si>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</si>
  <si>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</si>
  <si>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</si>
  <si>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</si>
  <si>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</si>
  <si>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</si>
  <si>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</si>
  <si>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</si>
  <si>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</si>
  <si>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</si>
  <si>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</si>
  <si>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</si>
  <si>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</si>
  <si>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</si>
  <si>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</si>
  <si>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</si>
  <si>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</si>
  <si>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</si>
  <si>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</si>
  <si>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</si>
  <si>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</si>
  <si>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</si>
  <si>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</si>
  <si>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</si>
  <si>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</si>
  <si>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</si>
  <si>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</si>
  <si>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</si>
  <si>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71037</t>
  </si>
  <si>
    <t>LUMMEN</t>
  </si>
  <si>
    <t>Paarden&amp;pony's 200 - 600 kg</t>
  </si>
  <si>
    <t>Paarden&amp;pony's &lt; 200 kg</t>
  </si>
  <si>
    <t>referentietaak LNE (2017); Jaarverslag De Lijn (2015)</t>
  </si>
  <si>
    <t>op basis van VEA (maart 2018) en Inventaris Hernieuwbare Energiebronnen (juni 2018)</t>
  </si>
  <si>
    <t>VEA (januari 2017)</t>
  </si>
  <si>
    <t>VEA (juni 2018)</t>
  </si>
  <si>
    <t>GRL-Glasrecycling</t>
  </si>
  <si>
    <t>Dellestraat 10 , 3560 Lummen</t>
  </si>
  <si>
    <t>WKK-0342 GRL-Glasrecycling</t>
  </si>
  <si>
    <t>interne verbrandingsmotor</t>
  </si>
  <si>
    <t>WKK interne verbrandinsgmotor (vloeibaar)</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</si>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</sst>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138466.95671414337</c:v>
                </c:pt>
                <c:pt idx="1">
                  <c:v>52967.270239995938</c:v>
                </c:pt>
                <c:pt idx="2">
                  <c:v>1081.239</c:v>
                </c:pt>
                <c:pt idx="3">
                  <c:v>8075.3482290337533</c:v>
                </c:pt>
                <c:pt idx="4">
                  <c:v>172848.02047253447</c:v>
                </c:pt>
                <c:pt idx="5">
                  <c:v>401641.66352247761</c:v>
                </c:pt>
                <c:pt idx="6">
                  <c:v>2139.6384338565313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85088"/>
        <c:axId val="182986624"/>
      </c:barChart>
      <c:catAx>
        <c:axId val="182985088"/>
        <c:scaling>
          <c:orientation val="minMax"/>
        </c:scaling>
        <c:axPos val="b"/>
        <c:numFmt formatCode="General" sourceLinked="0"/>
        <c:tickLblPos val="nextTo"/>
        <c:crossAx val="182986624"/>
        <c:crosses val="autoZero"/>
        <c:auto val="1"/>
        <c:lblAlgn val="ctr"/>
        <c:lblOffset val="100"/>
      </c:catAx>
      <c:valAx>
        <c:axId val="182986624"/>
        <c:scaling>
          <c:orientation val="minMax"/>
        </c:scaling>
        <c:axPos val="l"/>
        <c:majorGridlines/>
        <c:numFmt formatCode="#,##0" sourceLinked="1"/>
        <c:tickLblPos val="nextTo"/>
        <c:crossAx val="18298508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138466.95671414337</c:v>
                </c:pt>
                <c:pt idx="1">
                  <c:v>52967.270239995938</c:v>
                </c:pt>
                <c:pt idx="2">
                  <c:v>1081.239</c:v>
                </c:pt>
                <c:pt idx="3">
                  <c:v>8075.3482290337533</c:v>
                </c:pt>
                <c:pt idx="4">
                  <c:v>172848.02047253447</c:v>
                </c:pt>
                <c:pt idx="5">
                  <c:v>401641.66352247761</c:v>
                </c:pt>
                <c:pt idx="6">
                  <c:v>2139.6384338565313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25766.763832194672</c:v>
                </c:pt>
                <c:pt idx="1">
                  <c:v>8022.752373691761</c:v>
                </c:pt>
                <c:pt idx="2">
                  <c:v>125.26169780566509</c:v>
                </c:pt>
                <c:pt idx="3">
                  <c:v>1861.2789428314343</c:v>
                </c:pt>
                <c:pt idx="4">
                  <c:v>28574.407032903389</c:v>
                </c:pt>
                <c:pt idx="5">
                  <c:v>102884.00349319226</c:v>
                </c:pt>
                <c:pt idx="6">
                  <c:v>554.09662417289348</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401472"/>
        <c:axId val="183563008"/>
      </c:barChart>
      <c:catAx>
        <c:axId val="183401472"/>
        <c:scaling>
          <c:orientation val="minMax"/>
        </c:scaling>
        <c:axPos val="b"/>
        <c:numFmt formatCode="General" sourceLinked="0"/>
        <c:tickLblPos val="nextTo"/>
        <c:crossAx val="183563008"/>
        <c:crosses val="autoZero"/>
        <c:auto val="1"/>
        <c:lblAlgn val="ctr"/>
        <c:lblOffset val="100"/>
      </c:catAx>
      <c:valAx>
        <c:axId val="183563008"/>
        <c:scaling>
          <c:orientation val="minMax"/>
        </c:scaling>
        <c:axPos val="l"/>
        <c:majorGridlines/>
        <c:numFmt formatCode="#,##0" sourceLinked="1"/>
        <c:tickLblPos val="nextTo"/>
        <c:crossAx val="1834014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25766.763832194672</c:v>
                </c:pt>
                <c:pt idx="1">
                  <c:v>8022.752373691761</c:v>
                </c:pt>
                <c:pt idx="2">
                  <c:v>125.26169780566509</c:v>
                </c:pt>
                <c:pt idx="3">
                  <c:v>1861.2789428314343</c:v>
                </c:pt>
                <c:pt idx="4">
                  <c:v>28574.407032903389</c:v>
                </c:pt>
                <c:pt idx="5">
                  <c:v>102884.00349319226</c:v>
                </c:pt>
                <c:pt idx="6">
                  <c:v>554.09662417289348</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71037</v>
      </c>
      <c r="B6" s="415"/>
      <c r="C6" s="416"/>
    </row>
    <row r="7" spans="1:7" s="413" customFormat="1" ht="15.75" customHeight="1">
      <c r="A7" s="417" t="str">
        <f>txtMunicipality</f>
        <v>LUMMEN</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71037</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5969</v>
      </c>
      <c r="C9" s="342">
        <v>6211</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1803.62</v>
      </c>
    </row>
    <row r="15" spans="1:6">
      <c r="A15" s="348" t="s">
        <v>184</v>
      </c>
      <c r="B15" s="334">
        <v>703</v>
      </c>
    </row>
    <row r="16" spans="1:6">
      <c r="A16" s="348" t="s">
        <v>6</v>
      </c>
      <c r="B16" s="334">
        <v>591</v>
      </c>
    </row>
    <row r="17" spans="1:6">
      <c r="A17" s="348" t="s">
        <v>7</v>
      </c>
      <c r="B17" s="334">
        <v>207</v>
      </c>
    </row>
    <row r="18" spans="1:6">
      <c r="A18" s="348" t="s">
        <v>8</v>
      </c>
      <c r="B18" s="334">
        <v>444</v>
      </c>
    </row>
    <row r="19" spans="1:6">
      <c r="A19" s="348" t="s">
        <v>9</v>
      </c>
      <c r="B19" s="334">
        <v>425</v>
      </c>
    </row>
    <row r="20" spans="1:6">
      <c r="A20" s="348" t="s">
        <v>10</v>
      </c>
      <c r="B20" s="334">
        <v>297</v>
      </c>
    </row>
    <row r="21" spans="1:6">
      <c r="A21" s="348" t="s">
        <v>11</v>
      </c>
      <c r="B21" s="334">
        <v>4848</v>
      </c>
    </row>
    <row r="22" spans="1:6">
      <c r="A22" s="348" t="s">
        <v>12</v>
      </c>
      <c r="B22" s="334">
        <v>11930</v>
      </c>
    </row>
    <row r="23" spans="1:6">
      <c r="A23" s="348" t="s">
        <v>13</v>
      </c>
      <c r="B23" s="334">
        <v>266</v>
      </c>
    </row>
    <row r="24" spans="1:6">
      <c r="A24" s="348" t="s">
        <v>14</v>
      </c>
      <c r="B24" s="334">
        <v>35</v>
      </c>
    </row>
    <row r="25" spans="1:6">
      <c r="A25" s="348" t="s">
        <v>15</v>
      </c>
      <c r="B25" s="334">
        <v>1486</v>
      </c>
    </row>
    <row r="26" spans="1:6">
      <c r="A26" s="348" t="s">
        <v>16</v>
      </c>
      <c r="B26" s="334">
        <v>471</v>
      </c>
    </row>
    <row r="27" spans="1:6">
      <c r="A27" s="348" t="s">
        <v>17</v>
      </c>
      <c r="B27" s="334">
        <v>433</v>
      </c>
    </row>
    <row r="28" spans="1:6" s="356" customFormat="1">
      <c r="A28" s="355" t="s">
        <v>18</v>
      </c>
      <c r="B28" s="355">
        <v>349</v>
      </c>
    </row>
    <row r="29" spans="1:6">
      <c r="A29" s="355" t="s">
        <v>812</v>
      </c>
      <c r="B29" s="355">
        <v>183</v>
      </c>
      <c r="C29" s="356"/>
      <c r="D29" s="356"/>
      <c r="E29" s="356"/>
      <c r="F29" s="356"/>
    </row>
    <row r="30" spans="1:6">
      <c r="A30" s="355" t="s">
        <v>813</v>
      </c>
      <c r="B30" s="341">
        <v>47</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7</v>
      </c>
      <c r="F36" s="334">
        <v>18154</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2231</v>
      </c>
      <c r="D39" s="334">
        <v>32241221</v>
      </c>
      <c r="E39" s="334">
        <v>5930</v>
      </c>
      <c r="F39" s="334">
        <v>21628088</v>
      </c>
    </row>
    <row r="40" spans="1:6">
      <c r="A40" s="348" t="s">
        <v>30</v>
      </c>
      <c r="B40" s="348" t="s">
        <v>29</v>
      </c>
      <c r="C40" s="334">
        <v>0</v>
      </c>
      <c r="D40" s="334">
        <v>0</v>
      </c>
      <c r="E40" s="334">
        <v>0</v>
      </c>
      <c r="F40" s="334">
        <v>0</v>
      </c>
    </row>
    <row r="41" spans="1:6">
      <c r="A41" s="348" t="s">
        <v>32</v>
      </c>
      <c r="B41" s="348" t="s">
        <v>33</v>
      </c>
      <c r="C41" s="334">
        <v>48</v>
      </c>
      <c r="D41" s="334">
        <v>1180921</v>
      </c>
      <c r="E41" s="334">
        <v>141</v>
      </c>
      <c r="F41" s="334">
        <v>6213599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15</v>
      </c>
      <c r="D44" s="334">
        <v>25837625</v>
      </c>
      <c r="E44" s="334">
        <v>22</v>
      </c>
      <c r="F44" s="334">
        <v>7833894</v>
      </c>
    </row>
    <row r="45" spans="1:6">
      <c r="A45" s="348" t="s">
        <v>32</v>
      </c>
      <c r="B45" s="348" t="s">
        <v>37</v>
      </c>
      <c r="C45" s="334">
        <v>0</v>
      </c>
      <c r="D45" s="334">
        <v>0</v>
      </c>
      <c r="E45" s="334">
        <v>4</v>
      </c>
      <c r="F45" s="334">
        <v>424204</v>
      </c>
    </row>
    <row r="46" spans="1:6">
      <c r="A46" s="348" t="s">
        <v>32</v>
      </c>
      <c r="B46" s="348" t="s">
        <v>38</v>
      </c>
      <c r="C46" s="334">
        <v>0</v>
      </c>
      <c r="D46" s="334">
        <v>0</v>
      </c>
      <c r="E46" s="334">
        <v>0</v>
      </c>
      <c r="F46" s="334">
        <v>0</v>
      </c>
    </row>
    <row r="47" spans="1:6">
      <c r="A47" s="348" t="s">
        <v>32</v>
      </c>
      <c r="B47" s="348" t="s">
        <v>39</v>
      </c>
      <c r="C47" s="334">
        <v>0</v>
      </c>
      <c r="D47" s="334">
        <v>0</v>
      </c>
      <c r="E47" s="334">
        <v>4</v>
      </c>
      <c r="F47" s="334">
        <v>585454</v>
      </c>
    </row>
    <row r="48" spans="1:6">
      <c r="A48" s="348" t="s">
        <v>32</v>
      </c>
      <c r="B48" s="348" t="s">
        <v>29</v>
      </c>
      <c r="C48" s="334">
        <v>5</v>
      </c>
      <c r="D48" s="334">
        <v>824256</v>
      </c>
      <c r="E48" s="334">
        <v>5</v>
      </c>
      <c r="F48" s="334">
        <v>403723</v>
      </c>
    </row>
    <row r="49" spans="1:6">
      <c r="A49" s="348" t="s">
        <v>32</v>
      </c>
      <c r="B49" s="348" t="s">
        <v>40</v>
      </c>
      <c r="C49" s="334">
        <v>0</v>
      </c>
      <c r="D49" s="334">
        <v>0</v>
      </c>
      <c r="E49" s="334">
        <v>0</v>
      </c>
      <c r="F49" s="334">
        <v>0</v>
      </c>
    </row>
    <row r="50" spans="1:6">
      <c r="A50" s="348" t="s">
        <v>32</v>
      </c>
      <c r="B50" s="348" t="s">
        <v>41</v>
      </c>
      <c r="C50" s="334">
        <v>9</v>
      </c>
      <c r="D50" s="334">
        <v>69917410</v>
      </c>
      <c r="E50" s="334">
        <v>15</v>
      </c>
      <c r="F50" s="334">
        <v>33710880</v>
      </c>
    </row>
    <row r="51" spans="1:6">
      <c r="A51" s="348" t="s">
        <v>42</v>
      </c>
      <c r="B51" s="348" t="s">
        <v>43</v>
      </c>
      <c r="C51" s="334">
        <v>8</v>
      </c>
      <c r="D51" s="334">
        <v>1878748</v>
      </c>
      <c r="E51" s="334">
        <v>57</v>
      </c>
      <c r="F51" s="334">
        <v>1322445</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76</v>
      </c>
      <c r="F54" s="334">
        <v>1081239</v>
      </c>
    </row>
    <row r="55" spans="1:6">
      <c r="A55" s="348" t="s">
        <v>46</v>
      </c>
      <c r="B55" s="348" t="s">
        <v>29</v>
      </c>
      <c r="C55" s="334">
        <v>0</v>
      </c>
      <c r="D55" s="334">
        <v>0</v>
      </c>
      <c r="E55" s="334">
        <v>0</v>
      </c>
      <c r="F55" s="334">
        <v>0</v>
      </c>
    </row>
    <row r="56" spans="1:6">
      <c r="A56" s="348" t="s">
        <v>48</v>
      </c>
      <c r="B56" s="348" t="s">
        <v>29</v>
      </c>
      <c r="C56" s="334">
        <v>47</v>
      </c>
      <c r="D56" s="334">
        <v>801826</v>
      </c>
      <c r="E56" s="334">
        <v>129</v>
      </c>
      <c r="F56" s="334">
        <v>539417</v>
      </c>
    </row>
    <row r="57" spans="1:6">
      <c r="A57" s="348" t="s">
        <v>49</v>
      </c>
      <c r="B57" s="348" t="s">
        <v>50</v>
      </c>
      <c r="C57" s="334">
        <v>30</v>
      </c>
      <c r="D57" s="334">
        <v>2816591</v>
      </c>
      <c r="E57" s="334">
        <v>92</v>
      </c>
      <c r="F57" s="334">
        <v>1453285</v>
      </c>
    </row>
    <row r="58" spans="1:6">
      <c r="A58" s="348" t="s">
        <v>49</v>
      </c>
      <c r="B58" s="348" t="s">
        <v>51</v>
      </c>
      <c r="C58" s="334">
        <v>16</v>
      </c>
      <c r="D58" s="334">
        <v>3536117</v>
      </c>
      <c r="E58" s="334">
        <v>32</v>
      </c>
      <c r="F58" s="334">
        <v>1016769</v>
      </c>
    </row>
    <row r="59" spans="1:6">
      <c r="A59" s="348" t="s">
        <v>49</v>
      </c>
      <c r="B59" s="348" t="s">
        <v>52</v>
      </c>
      <c r="C59" s="334">
        <v>56</v>
      </c>
      <c r="D59" s="334">
        <v>3590948</v>
      </c>
      <c r="E59" s="334">
        <v>149</v>
      </c>
      <c r="F59" s="334">
        <v>4907246</v>
      </c>
    </row>
    <row r="60" spans="1:6">
      <c r="A60" s="348" t="s">
        <v>49</v>
      </c>
      <c r="B60" s="348" t="s">
        <v>53</v>
      </c>
      <c r="C60" s="334">
        <v>17</v>
      </c>
      <c r="D60" s="334">
        <v>963263</v>
      </c>
      <c r="E60" s="334">
        <v>43</v>
      </c>
      <c r="F60" s="334">
        <v>1409478</v>
      </c>
    </row>
    <row r="61" spans="1:6">
      <c r="A61" s="348" t="s">
        <v>49</v>
      </c>
      <c r="B61" s="348" t="s">
        <v>54</v>
      </c>
      <c r="C61" s="334">
        <v>85</v>
      </c>
      <c r="D61" s="334">
        <v>9893499</v>
      </c>
      <c r="E61" s="334">
        <v>273</v>
      </c>
      <c r="F61" s="334">
        <v>12119876</v>
      </c>
    </row>
    <row r="62" spans="1:6">
      <c r="A62" s="348" t="s">
        <v>49</v>
      </c>
      <c r="B62" s="348" t="s">
        <v>55</v>
      </c>
      <c r="C62" s="334">
        <v>6</v>
      </c>
      <c r="D62" s="334">
        <v>852598</v>
      </c>
      <c r="E62" s="334">
        <v>13</v>
      </c>
      <c r="F62" s="334">
        <v>212799</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1434</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6</v>
      </c>
      <c r="F68" s="334">
        <v>26351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57783993</v>
      </c>
      <c r="E73" s="476">
        <v>59385155.887356147</v>
      </c>
    </row>
    <row r="74" spans="1:6">
      <c r="A74" s="348" t="s">
        <v>64</v>
      </c>
      <c r="B74" s="348" t="s">
        <v>667</v>
      </c>
      <c r="C74" s="1212" t="s">
        <v>669</v>
      </c>
      <c r="D74" s="476">
        <v>706933.14327251492</v>
      </c>
      <c r="E74" s="476">
        <v>732747.49463675381</v>
      </c>
    </row>
    <row r="75" spans="1:6">
      <c r="A75" s="348" t="s">
        <v>65</v>
      </c>
      <c r="B75" s="348" t="s">
        <v>666</v>
      </c>
      <c r="C75" s="1212" t="s">
        <v>670</v>
      </c>
      <c r="D75" s="476">
        <v>32755196</v>
      </c>
      <c r="E75" s="476">
        <v>33570641.340105653</v>
      </c>
    </row>
    <row r="76" spans="1:6">
      <c r="A76" s="348" t="s">
        <v>65</v>
      </c>
      <c r="B76" s="348" t="s">
        <v>667</v>
      </c>
      <c r="C76" s="1212" t="s">
        <v>671</v>
      </c>
      <c r="D76" s="476">
        <v>79804.143272514862</v>
      </c>
      <c r="E76" s="476">
        <v>86378.482676494517</v>
      </c>
    </row>
    <row r="77" spans="1:6">
      <c r="A77" s="348" t="s">
        <v>66</v>
      </c>
      <c r="B77" s="348" t="s">
        <v>666</v>
      </c>
      <c r="C77" s="1212" t="s">
        <v>672</v>
      </c>
      <c r="D77" s="476">
        <v>317805709</v>
      </c>
      <c r="E77" s="476">
        <v>343280090.26764292</v>
      </c>
    </row>
    <row r="78" spans="1:6">
      <c r="A78" s="341" t="s">
        <v>66</v>
      </c>
      <c r="B78" s="341" t="s">
        <v>667</v>
      </c>
      <c r="C78" s="341" t="s">
        <v>673</v>
      </c>
      <c r="D78" s="1213">
        <v>46873252</v>
      </c>
      <c r="E78" s="1213">
        <v>49137756.466478124</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574677.71345497028</v>
      </c>
      <c r="C83" s="476">
        <v>574677.71345497028</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35980.299571628704</v>
      </c>
    </row>
    <row r="91" spans="1:6">
      <c r="A91" s="348" t="s">
        <v>68</v>
      </c>
      <c r="B91" s="334">
        <v>5307.6852951912078</v>
      </c>
    </row>
    <row r="92" spans="1:6">
      <c r="A92" s="341" t="s">
        <v>69</v>
      </c>
      <c r="B92" s="342">
        <v>5545.3966003199421</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483</v>
      </c>
    </row>
    <row r="98" spans="1:6">
      <c r="A98" s="348" t="s">
        <v>72</v>
      </c>
      <c r="B98" s="334">
        <v>1</v>
      </c>
    </row>
    <row r="99" spans="1:6">
      <c r="A99" s="348" t="s">
        <v>73</v>
      </c>
      <c r="B99" s="334">
        <v>32</v>
      </c>
    </row>
    <row r="100" spans="1:6">
      <c r="A100" s="348" t="s">
        <v>74</v>
      </c>
      <c r="B100" s="334">
        <v>203</v>
      </c>
    </row>
    <row r="101" spans="1:6">
      <c r="A101" s="348" t="s">
        <v>75</v>
      </c>
      <c r="B101" s="334">
        <v>70</v>
      </c>
    </row>
    <row r="102" spans="1:6">
      <c r="A102" s="348" t="s">
        <v>76</v>
      </c>
      <c r="B102" s="334">
        <v>48</v>
      </c>
    </row>
    <row r="103" spans="1:6">
      <c r="A103" s="348" t="s">
        <v>77</v>
      </c>
      <c r="B103" s="334">
        <v>81</v>
      </c>
    </row>
    <row r="104" spans="1:6">
      <c r="A104" s="348" t="s">
        <v>78</v>
      </c>
      <c r="B104" s="334">
        <v>4055</v>
      </c>
    </row>
    <row r="105" spans="1:6">
      <c r="A105" s="341" t="s">
        <v>79</v>
      </c>
      <c r="B105" s="341">
        <v>10</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23</v>
      </c>
      <c r="C123" s="334">
        <v>51</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210</v>
      </c>
    </row>
    <row r="130" spans="1:6">
      <c r="A130" s="348" t="s">
        <v>295</v>
      </c>
      <c r="B130" s="334">
        <v>1</v>
      </c>
    </row>
    <row r="131" spans="1:6">
      <c r="A131" s="348" t="s">
        <v>296</v>
      </c>
      <c r="B131" s="334">
        <v>1</v>
      </c>
    </row>
    <row r="132" spans="1:6">
      <c r="A132" s="341" t="s">
        <v>297</v>
      </c>
      <c r="B132" s="342">
        <v>41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103371.35389597226</v>
      </c>
      <c r="C3" s="43" t="s">
        <v>170</v>
      </c>
      <c r="D3" s="43"/>
      <c r="E3" s="154"/>
      <c r="F3" s="43"/>
      <c r="G3" s="43"/>
      <c r="H3" s="43"/>
      <c r="I3" s="43"/>
      <c r="J3" s="43"/>
      <c r="K3" s="96"/>
    </row>
    <row r="4" spans="1:11">
      <c r="A4" s="383" t="s">
        <v>171</v>
      </c>
      <c r="B4" s="49">
        <f>IF(ISERROR('SEAP template'!B69),0,'SEAP template'!B69)</f>
        <v>50478.381467139858</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286.23970588235295</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0.11585014765992079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322.01966911764708</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4100.6250000000009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7.8529411764705875E-2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1081.239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1081.239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0.11585014765992079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125.26169780566509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21628.088</v>
      </c>
      <c r="C5" s="17">
        <f>IF(ISERROR('Eigen informatie GS &amp; warmtenet'!B57),0,'Eigen informatie GS &amp; warmtenet'!B57)</f>
        <v>0</v>
      </c>
      <c r="D5" s="30">
        <f>(SUM(HH_hh_gas_kWh,HH_rest_gas_kWh)/1000)*0.902</f>
        <v>29081.581342000001</v>
      </c>
      <c r="E5" s="17">
        <f>B46*B57</f>
        <v>2826.7465377628741</v>
      </c>
      <c r="F5" s="17">
        <f>B51*B62</f>
        <v>60412.358140286306</v>
      </c>
      <c r="G5" s="18"/>
      <c r="H5" s="17"/>
      <c r="I5" s="17"/>
      <c r="J5" s="17">
        <f>B50*B61+C50*C61</f>
        <v>0</v>
      </c>
      <c r="K5" s="17"/>
      <c r="L5" s="17"/>
      <c r="M5" s="17"/>
      <c r="N5" s="17">
        <f>B48*B59+C48*C59</f>
        <v>17561.570732236301</v>
      </c>
      <c r="O5" s="17">
        <f>B69*B70*B71</f>
        <v>409.59333333333336</v>
      </c>
      <c r="P5" s="17">
        <f>B77*B78*B79/1000-B77*B78*B79/1000/B80</f>
        <v>1239.3333333333333</v>
      </c>
    </row>
    <row r="6" spans="1:16">
      <c r="A6" s="16" t="s">
        <v>624</v>
      </c>
      <c r="B6" s="843">
        <f>kWh_PV_kleiner_dan_10kW</f>
        <v>5307.6852951912078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26935.773295191208</v>
      </c>
      <c r="C8" s="21">
        <f>C5</f>
        <v>0</v>
      </c>
      <c r="D8" s="21">
        <f>D5</f>
        <v>29081.581342000001</v>
      </c>
      <c r="E8" s="21">
        <f>E5</f>
        <v>2826.7465377628741</v>
      </c>
      <c r="F8" s="21">
        <f>F5</f>
        <v>60412.358140286306</v>
      </c>
      <c r="G8" s="21"/>
      <c r="H8" s="21"/>
      <c r="I8" s="21"/>
      <c r="J8" s="21">
        <f>J5</f>
        <v>0</v>
      </c>
      <c r="K8" s="21"/>
      <c r="L8" s="21">
        <f>L5</f>
        <v>0</v>
      </c>
      <c r="M8" s="21">
        <f>M5</f>
        <v>0</v>
      </c>
      <c r="N8" s="21">
        <f>N5</f>
        <v>17561.570732236301</v>
      </c>
      <c r="O8" s="21">
        <f>O5</f>
        <v>409.59333333333336</v>
      </c>
      <c r="P8" s="21">
        <f>P5</f>
        <v>1239.3333333333333</v>
      </c>
    </row>
    <row r="9" spans="1:16">
      <c r="B9" s="19"/>
      <c r="C9" s="19"/>
      <c r="D9" s="258"/>
      <c r="E9" s="19"/>
      <c r="F9" s="19"/>
      <c r="G9" s="19"/>
      <c r="H9" s="19"/>
      <c r="I9" s="19"/>
      <c r="J9" s="19"/>
      <c r="K9" s="19"/>
      <c r="L9" s="19"/>
      <c r="M9" s="19"/>
      <c r="N9" s="19"/>
      <c r="O9" s="19"/>
      <c r="P9" s="19"/>
    </row>
    <row r="10" spans="1:16">
      <c r="A10" s="24" t="s">
        <v>214</v>
      </c>
      <c r="B10" s="25">
        <f ca="1">'EF ele_warmte'!B12</f>
        <v>0.11585014765992079</v>
      </c>
      <c r="C10" s="25">
        <f ca="1">'EF ele_warmte'!B22</f>
        <v>7.8529411764705875E-2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3120.5133135820524</v>
      </c>
      <c r="C12" s="23">
        <f ca="1">C10*C8</f>
        <v>0</v>
      </c>
      <c r="D12" s="23">
        <f>D8*D10</f>
        <v>5874.4794310840007</v>
      </c>
      <c r="E12" s="23">
        <f>E10*E8</f>
        <v>641.6714640721724</v>
      </c>
      <c r="F12" s="23">
        <f>F10*F8</f>
        <v>16130.099623456445</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483</v>
      </c>
      <c r="C18" s="166" t="s">
        <v>111</v>
      </c>
      <c r="D18" s="228"/>
      <c r="E18" s="15"/>
    </row>
    <row r="19" spans="1:7">
      <c r="A19" s="171" t="s">
        <v>72</v>
      </c>
      <c r="B19" s="37">
        <f>aantalw2001_ander</f>
        <v>1</v>
      </c>
      <c r="C19" s="166" t="s">
        <v>111</v>
      </c>
      <c r="D19" s="229"/>
      <c r="E19" s="15"/>
    </row>
    <row r="20" spans="1:7">
      <c r="A20" s="171" t="s">
        <v>73</v>
      </c>
      <c r="B20" s="37">
        <f>aantalw2001_propaan</f>
        <v>32</v>
      </c>
      <c r="C20" s="167">
        <f>IF(ISERROR(B20/SUM($B$20,$B$21,$B$22)*100),0,B20/SUM($B$20,$B$21,$B$22)*100)</f>
        <v>10.491803278688524</v>
      </c>
      <c r="D20" s="229"/>
      <c r="E20" s="15"/>
    </row>
    <row r="21" spans="1:7">
      <c r="A21" s="171" t="s">
        <v>74</v>
      </c>
      <c r="B21" s="37">
        <f>aantalw2001_elektriciteit</f>
        <v>203</v>
      </c>
      <c r="C21" s="167">
        <f>IF(ISERROR(B21/SUM($B$20,$B$21,$B$22)*100),0,B21/SUM($B$20,$B$21,$B$22)*100)</f>
        <v>66.557377049180332</v>
      </c>
      <c r="D21" s="229"/>
      <c r="E21" s="15"/>
    </row>
    <row r="22" spans="1:7">
      <c r="A22" s="171" t="s">
        <v>75</v>
      </c>
      <c r="B22" s="37">
        <f>aantalw2001_hout</f>
        <v>70</v>
      </c>
      <c r="C22" s="167">
        <f>IF(ISERROR(B22/SUM($B$20,$B$21,$B$22)*100),0,B22/SUM($B$20,$B$21,$B$22)*100)</f>
        <v>22.950819672131146</v>
      </c>
      <c r="D22" s="229"/>
      <c r="E22" s="15"/>
    </row>
    <row r="23" spans="1:7">
      <c r="A23" s="171" t="s">
        <v>76</v>
      </c>
      <c r="B23" s="37">
        <f>aantalw2001_niet_gespec</f>
        <v>48</v>
      </c>
      <c r="C23" s="166" t="s">
        <v>111</v>
      </c>
      <c r="D23" s="228"/>
      <c r="E23" s="15"/>
    </row>
    <row r="24" spans="1:7">
      <c r="A24" s="171" t="s">
        <v>77</v>
      </c>
      <c r="B24" s="37">
        <f>aantalw2001_steenkool</f>
        <v>81</v>
      </c>
      <c r="C24" s="166" t="s">
        <v>111</v>
      </c>
      <c r="D24" s="229"/>
      <c r="E24" s="15"/>
    </row>
    <row r="25" spans="1:7">
      <c r="A25" s="171" t="s">
        <v>78</v>
      </c>
      <c r="B25" s="37">
        <f>aantalw2001_stookolie</f>
        <v>4055</v>
      </c>
      <c r="C25" s="166" t="s">
        <v>111</v>
      </c>
      <c r="D25" s="228"/>
      <c r="E25" s="52"/>
    </row>
    <row r="26" spans="1:7">
      <c r="A26" s="171" t="s">
        <v>79</v>
      </c>
      <c r="B26" s="37">
        <f>aantalw2001_WP</f>
        <v>10</v>
      </c>
      <c r="C26" s="166" t="s">
        <v>111</v>
      </c>
      <c r="D26" s="228"/>
      <c r="E26" s="15"/>
    </row>
    <row r="27" spans="1:7" s="15" customFormat="1">
      <c r="A27" s="171"/>
      <c r="B27" s="29"/>
      <c r="C27" s="36"/>
      <c r="D27" s="228"/>
    </row>
    <row r="28" spans="1:7" s="15" customFormat="1">
      <c r="A28" s="230" t="s">
        <v>698</v>
      </c>
      <c r="B28" s="37">
        <f>aantalHuishoudens2011</f>
        <v>5969</v>
      </c>
      <c r="C28" s="36"/>
      <c r="D28" s="228"/>
    </row>
    <row r="29" spans="1:7" s="15" customFormat="1">
      <c r="A29" s="230" t="s">
        <v>699</v>
      </c>
      <c r="B29" s="37">
        <f>SUM(HH_hh_gas_aantal,HH_rest_gas_aantal)</f>
        <v>2231</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2231</v>
      </c>
      <c r="C32" s="167">
        <f>IF(ISERROR(B32/SUM($B$32,$B$34,$B$35,$B$36,$B$38,$B$39)*100),0,B32/SUM($B$32,$B$34,$B$35,$B$36,$B$38,$B$39)*100)</f>
        <v>37.787940379403793</v>
      </c>
      <c r="D32" s="233"/>
      <c r="G32" s="15"/>
    </row>
    <row r="33" spans="1:7">
      <c r="A33" s="171" t="s">
        <v>72</v>
      </c>
      <c r="B33" s="34" t="s">
        <v>111</v>
      </c>
      <c r="C33" s="167"/>
      <c r="D33" s="233"/>
      <c r="G33" s="15"/>
    </row>
    <row r="34" spans="1:7">
      <c r="A34" s="171" t="s">
        <v>73</v>
      </c>
      <c r="B34" s="33">
        <f>IF((($B$28-$B$32-$B$39-$B$77-$B$38)*C20/100)&lt;0,0,($B$28-$B$32-$B$39-$B$77-$B$38)*C20/100)</f>
        <v>124.97836065573767</v>
      </c>
      <c r="C34" s="167">
        <f>IF(ISERROR(B34/SUM($B$32,$B$34,$B$35,$B$36,$B$38,$B$39)*100),0,B34/SUM($B$32,$B$34,$B$35,$B$36,$B$38,$B$39)*100)</f>
        <v>2.1168421520280774</v>
      </c>
      <c r="D34" s="233"/>
      <c r="G34" s="15"/>
    </row>
    <row r="35" spans="1:7">
      <c r="A35" s="171" t="s">
        <v>74</v>
      </c>
      <c r="B35" s="33">
        <f>IF((($B$28-$B$32-$B$39-$B$77-$B$38)*C21/100)&lt;0,0,($B$28-$B$32-$B$39-$B$77-$B$38)*C21/100)</f>
        <v>792.831475409836</v>
      </c>
      <c r="C35" s="167">
        <f>IF(ISERROR(B35/SUM($B$32,$B$34,$B$35,$B$36,$B$38,$B$39)*100),0,B35/SUM($B$32,$B$34,$B$35,$B$36,$B$38,$B$39)*100)</f>
        <v>13.428717401928116</v>
      </c>
      <c r="D35" s="233"/>
      <c r="G35" s="15"/>
    </row>
    <row r="36" spans="1:7">
      <c r="A36" s="171" t="s">
        <v>75</v>
      </c>
      <c r="B36" s="33">
        <f>IF((($B$28-$B$32-$B$39-$B$77-$B$38)*C22/100)&lt;0,0,($B$28-$B$32-$B$39-$B$77-$B$38)*C22/100)</f>
        <v>273.39016393442614</v>
      </c>
      <c r="C36" s="167">
        <f>IF(ISERROR(B36/SUM($B$32,$B$34,$B$35,$B$36,$B$38,$B$39)*100),0,B36/SUM($B$32,$B$34,$B$35,$B$36,$B$38,$B$39)*100)</f>
        <v>4.6305922075614179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2481.8000000000002</v>
      </c>
      <c r="C39" s="167">
        <f>IF(ISERROR(B39/SUM($B$32,$B$34,$B$35,$B$36,$B$38,$B$39)*100),0,B39/SUM($B$32,$B$34,$B$35,$B$36,$B$38,$B$39)*100)</f>
        <v>42.035907859078591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2231</v>
      </c>
      <c r="C44" s="34" t="s">
        <v>111</v>
      </c>
      <c r="D44" s="174"/>
    </row>
    <row r="45" spans="1:7">
      <c r="A45" s="171" t="s">
        <v>72</v>
      </c>
      <c r="B45" s="33" t="str">
        <f t="shared" si="0"/>
        <v>-</v>
      </c>
      <c r="C45" s="34" t="s">
        <v>111</v>
      </c>
      <c r="D45" s="174"/>
    </row>
    <row r="46" spans="1:7">
      <c r="A46" s="171" t="s">
        <v>73</v>
      </c>
      <c r="B46" s="33">
        <f t="shared" si="0"/>
        <v>124.97836065573767</v>
      </c>
      <c r="C46" s="34" t="s">
        <v>111</v>
      </c>
      <c r="D46" s="174"/>
    </row>
    <row r="47" spans="1:7">
      <c r="A47" s="171" t="s">
        <v>74</v>
      </c>
      <c r="B47" s="33">
        <f t="shared" si="0"/>
        <v>792.831475409836</v>
      </c>
      <c r="C47" s="34" t="s">
        <v>111</v>
      </c>
      <c r="D47" s="174"/>
    </row>
    <row r="48" spans="1:7">
      <c r="A48" s="171" t="s">
        <v>75</v>
      </c>
      <c r="B48" s="33">
        <f t="shared" si="0"/>
        <v>273.39016393442614</v>
      </c>
      <c r="C48" s="33">
        <f>B48*10</f>
        <v>2733.9016393442616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2481.8000000000002</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262</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65</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21119.452999999998</v>
      </c>
      <c r="C5" s="17">
        <f>IF(ISERROR('Eigen informatie GS &amp; warmtenet'!B58),0,'Eigen informatie GS &amp; warmtenet'!B58)</f>
        <v>0</v>
      </c>
      <c r="D5" s="30">
        <f>SUM(D6:D12)</f>
        <v>19531.020432000001</v>
      </c>
      <c r="E5" s="17">
        <f>SUM(E6:E12)</f>
        <v>362.87976832981252</v>
      </c>
      <c r="F5" s="17">
        <f>SUM(F6:F12)</f>
        <v>5289.8378581725756</v>
      </c>
      <c r="G5" s="18"/>
      <c r="H5" s="17"/>
      <c r="I5" s="17"/>
      <c r="J5" s="17">
        <f>SUM(J6:J12)</f>
        <v>0</v>
      </c>
      <c r="K5" s="17"/>
      <c r="L5" s="17"/>
      <c r="M5" s="17"/>
      <c r="N5" s="17">
        <f>SUM(N6:N12)</f>
        <v>1175.9491814935509</v>
      </c>
      <c r="O5" s="17">
        <f>B38*B39*B40</f>
        <v>1.5633333333333335</v>
      </c>
      <c r="P5" s="17">
        <f>B46*B47*B48/1000-B46*B47*B48/1000/B49</f>
        <v>19.066666666666666</v>
      </c>
      <c r="R5" s="32"/>
    </row>
    <row r="6" spans="1:18">
      <c r="A6" s="32" t="s">
        <v>54</v>
      </c>
      <c r="B6" s="37">
        <f>B26</f>
        <v>12119.876</v>
      </c>
      <c r="C6" s="33"/>
      <c r="D6" s="37">
        <f>IF(ISERROR(TER_kantoor_gas_kWh/1000),0,TER_kantoor_gas_kWh/1000)*0.902</f>
        <v>8923.9360980000001</v>
      </c>
      <c r="E6" s="33">
        <f>$C$26*'E Balans VL '!I12/100/3.6*1000000</f>
        <v>158.66410636239118</v>
      </c>
      <c r="F6" s="33">
        <f>$C$26*('E Balans VL '!L12+'E Balans VL '!N12)/100/3.6*1000000</f>
        <v>3090.4431378798231</v>
      </c>
      <c r="G6" s="34"/>
      <c r="H6" s="33"/>
      <c r="I6" s="33"/>
      <c r="J6" s="33">
        <f>$C$26*('E Balans VL '!D12+'E Balans VL '!E12)/100/3.6*1000000</f>
        <v>0</v>
      </c>
      <c r="K6" s="33"/>
      <c r="L6" s="33"/>
      <c r="M6" s="33"/>
      <c r="N6" s="33">
        <f>$C$26*'E Balans VL '!Y12/100/3.6*1000000</f>
        <v>12.160689033255395</v>
      </c>
      <c r="O6" s="33"/>
      <c r="P6" s="33"/>
      <c r="R6" s="32"/>
    </row>
    <row r="7" spans="1:18">
      <c r="A7" s="32" t="s">
        <v>53</v>
      </c>
      <c r="B7" s="37">
        <f t="shared" ref="B7:B12" si="0">B27</f>
        <v>1409.4780000000001</v>
      </c>
      <c r="C7" s="33"/>
      <c r="D7" s="37">
        <f>IF(ISERROR(TER_horeca_gas_kWh/1000),0,TER_horeca_gas_kWh/1000)*0.902</f>
        <v>868.86322600000005</v>
      </c>
      <c r="E7" s="33">
        <f>$C$27*'E Balans VL '!I9/100/3.6*1000000</f>
        <v>46.645148232934389</v>
      </c>
      <c r="F7" s="33">
        <f>$C$27*('E Balans VL '!L9+'E Balans VL '!N9)/100/3.6*1000000</f>
        <v>606.07013822599686</v>
      </c>
      <c r="G7" s="34"/>
      <c r="H7" s="33"/>
      <c r="I7" s="33"/>
      <c r="J7" s="33">
        <f>$C$27*('E Balans VL '!D9+'E Balans VL '!E9)/100/3.6*1000000</f>
        <v>0</v>
      </c>
      <c r="K7" s="33"/>
      <c r="L7" s="33"/>
      <c r="M7" s="33"/>
      <c r="N7" s="33">
        <f>$C$27*'E Balans VL '!Y9/100/3.6*1000000</f>
        <v>0.33928182246672178</v>
      </c>
      <c r="O7" s="33"/>
      <c r="P7" s="33"/>
      <c r="R7" s="32"/>
    </row>
    <row r="8" spans="1:18">
      <c r="A8" s="6" t="s">
        <v>52</v>
      </c>
      <c r="B8" s="37">
        <f t="shared" si="0"/>
        <v>4907.2460000000001</v>
      </c>
      <c r="C8" s="33"/>
      <c r="D8" s="37">
        <f>IF(ISERROR(TER_handel_gas_kWh/1000),0,TER_handel_gas_kWh/1000)*0.902</f>
        <v>3239.0350960000001</v>
      </c>
      <c r="E8" s="33">
        <f>$C$28*'E Balans VL '!I13/100/3.6*1000000</f>
        <v>154.8801818086967</v>
      </c>
      <c r="F8" s="33">
        <f>$C$28*('E Balans VL '!L13+'E Balans VL '!N13)/100/3.6*1000000</f>
        <v>962.39735183717482</v>
      </c>
      <c r="G8" s="34"/>
      <c r="H8" s="33"/>
      <c r="I8" s="33"/>
      <c r="J8" s="33">
        <f>$C$28*('E Balans VL '!D13+'E Balans VL '!E13)/100/3.6*1000000</f>
        <v>0</v>
      </c>
      <c r="K8" s="33"/>
      <c r="L8" s="33"/>
      <c r="M8" s="33"/>
      <c r="N8" s="33">
        <f>$C$28*'E Balans VL '!Y13/100/3.6*1000000</f>
        <v>5.8239482718852589</v>
      </c>
      <c r="O8" s="33"/>
      <c r="P8" s="33"/>
      <c r="R8" s="32"/>
    </row>
    <row r="9" spans="1:18">
      <c r="A9" s="32" t="s">
        <v>51</v>
      </c>
      <c r="B9" s="37">
        <f t="shared" si="0"/>
        <v>1016.769</v>
      </c>
      <c r="C9" s="33"/>
      <c r="D9" s="37">
        <f>IF(ISERROR(TER_gezond_gas_kWh/1000),0,TER_gezond_gas_kWh/1000)*0.902</f>
        <v>3189.5775340000005</v>
      </c>
      <c r="E9" s="33">
        <f>$C$29*'E Balans VL '!I10/100/3.6*1000000</f>
        <v>0.13017617691711106</v>
      </c>
      <c r="F9" s="33">
        <f>$C$29*('E Balans VL '!L10+'E Balans VL '!N10)/100/3.6*1000000</f>
        <v>211.83559939432803</v>
      </c>
      <c r="G9" s="34"/>
      <c r="H9" s="33"/>
      <c r="I9" s="33"/>
      <c r="J9" s="33">
        <f>$C$29*('E Balans VL '!D10+'E Balans VL '!E10)/100/3.6*1000000</f>
        <v>0</v>
      </c>
      <c r="K9" s="33"/>
      <c r="L9" s="33"/>
      <c r="M9" s="33"/>
      <c r="N9" s="33">
        <f>$C$29*'E Balans VL '!Y10/100/3.6*1000000</f>
        <v>11.942432493210324</v>
      </c>
      <c r="O9" s="33"/>
      <c r="P9" s="33"/>
      <c r="R9" s="32"/>
    </row>
    <row r="10" spans="1:18">
      <c r="A10" s="32" t="s">
        <v>50</v>
      </c>
      <c r="B10" s="37">
        <f t="shared" si="0"/>
        <v>1453.2850000000001</v>
      </c>
      <c r="C10" s="33"/>
      <c r="D10" s="37">
        <f>IF(ISERROR(TER_ander_gas_kWh/1000),0,TER_ander_gas_kWh/1000)*0.902</f>
        <v>2540.5650820000001</v>
      </c>
      <c r="E10" s="33">
        <f>$C$30*'E Balans VL '!I14/100/3.6*1000000</f>
        <v>2.1853988773785589</v>
      </c>
      <c r="F10" s="33">
        <f>$C$30*('E Balans VL '!L14+'E Balans VL '!N14)/100/3.6*1000000</f>
        <v>320.83848194371694</v>
      </c>
      <c r="G10" s="34"/>
      <c r="H10" s="33"/>
      <c r="I10" s="33"/>
      <c r="J10" s="33">
        <f>$C$30*('E Balans VL '!D14+'E Balans VL '!E14)/100/3.6*1000000</f>
        <v>0</v>
      </c>
      <c r="K10" s="33"/>
      <c r="L10" s="33"/>
      <c r="M10" s="33"/>
      <c r="N10" s="33">
        <f>$C$30*'E Balans VL '!Y14/100/3.6*1000000</f>
        <v>1145.2863823929829</v>
      </c>
      <c r="O10" s="33"/>
      <c r="P10" s="33"/>
      <c r="R10" s="32"/>
    </row>
    <row r="11" spans="1:18">
      <c r="A11" s="32" t="s">
        <v>55</v>
      </c>
      <c r="B11" s="37">
        <f t="shared" si="0"/>
        <v>212.79900000000001</v>
      </c>
      <c r="C11" s="33"/>
      <c r="D11" s="37">
        <f>IF(ISERROR(TER_onderwijs_gas_kWh/1000),0,TER_onderwijs_gas_kWh/1000)*0.902</f>
        <v>769.04339600000003</v>
      </c>
      <c r="E11" s="33">
        <f>$C$31*'E Balans VL '!I11/100/3.6*1000000</f>
        <v>0.3747568714945595</v>
      </c>
      <c r="F11" s="33">
        <f>$C$31*('E Balans VL '!L11+'E Balans VL '!N11)/100/3.6*1000000</f>
        <v>98.253148891536398</v>
      </c>
      <c r="G11" s="34"/>
      <c r="H11" s="33"/>
      <c r="I11" s="33"/>
      <c r="J11" s="33">
        <f>$C$31*('E Balans VL '!D11+'E Balans VL '!E11)/100/3.6*1000000</f>
        <v>0</v>
      </c>
      <c r="K11" s="33"/>
      <c r="L11" s="33"/>
      <c r="M11" s="33"/>
      <c r="N11" s="33">
        <f>$C$31*'E Balans VL '!Y11/100/3.6*1000000</f>
        <v>0.39644747975028083</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energieproductie'!N90+'lokale energieproductie'!N59</f>
        <v>3645.0000000000005</v>
      </c>
      <c r="C13" s="247">
        <f ca="1">'lokale energieproductie'!O90+'lokale energieproductie'!O59</f>
        <v>4100.6250000000009</v>
      </c>
      <c r="D13" s="310">
        <f ca="1">('lokale energieproductie'!P59+'lokale energieproductie'!P90)*(-1)</f>
        <v>0</v>
      </c>
      <c r="E13" s="248"/>
      <c r="F13" s="310">
        <f ca="1">('lokale energieproductie'!S59+'lokale energieproductie'!S90)*(-1)</f>
        <v>-2278.125</v>
      </c>
      <c r="G13" s="249"/>
      <c r="H13" s="248"/>
      <c r="I13" s="248"/>
      <c r="J13" s="248"/>
      <c r="K13" s="248"/>
      <c r="L13" s="310">
        <f ca="1">('lokale energieproductie'!U59+'lokale energieproductie'!T59+'lokale energieproductie'!U90+'lokale energieproductie'!T90)*(-1)</f>
        <v>-6834.375</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24764.452999999998</v>
      </c>
      <c r="C16" s="21">
        <f t="shared" ca="1" si="1"/>
        <v>4100.6250000000009</v>
      </c>
      <c r="D16" s="21">
        <f t="shared" ca="1" si="1"/>
        <v>19531.020432000001</v>
      </c>
      <c r="E16" s="21">
        <f t="shared" si="1"/>
        <v>362.87976832981252</v>
      </c>
      <c r="F16" s="21">
        <f t="shared" ca="1" si="1"/>
        <v>3011.7128581725756</v>
      </c>
      <c r="G16" s="21">
        <f t="shared" si="1"/>
        <v>0</v>
      </c>
      <c r="H16" s="21">
        <f t="shared" si="1"/>
        <v>0</v>
      </c>
      <c r="I16" s="21">
        <f t="shared" si="1"/>
        <v>0</v>
      </c>
      <c r="J16" s="21">
        <f t="shared" si="1"/>
        <v>0</v>
      </c>
      <c r="K16" s="21">
        <f t="shared" si="1"/>
        <v>0</v>
      </c>
      <c r="L16" s="21">
        <f t="shared" ca="1" si="1"/>
        <v>0</v>
      </c>
      <c r="M16" s="21">
        <f t="shared" si="1"/>
        <v>0</v>
      </c>
      <c r="N16" s="21">
        <f t="shared" ca="1" si="1"/>
        <v>1175.9491814935509</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0.11585014765992079</v>
      </c>
      <c r="C18" s="25">
        <f ca="1">'EF ele_warmte'!B22</f>
        <v>7.8529411764705875E-2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2868.965536767168</v>
      </c>
      <c r="C20" s="23">
        <f t="shared" ref="C20:P20" ca="1" si="2">C16*C18</f>
        <v>322.01966911764708</v>
      </c>
      <c r="D20" s="23">
        <f t="shared" ca="1" si="2"/>
        <v>3945.2661272640003</v>
      </c>
      <c r="E20" s="23">
        <f t="shared" si="2"/>
        <v>82.373707410867439</v>
      </c>
      <c r="F20" s="23">
        <f t="shared" ca="1" si="2"/>
        <v>804.12733313207775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12119.876</v>
      </c>
      <c r="C26" s="39">
        <f>IF(ISERROR(B26*3.6/1000000/'E Balans VL '!Z12*100),0,B26*3.6/1000000/'E Balans VL '!Z12*100)</f>
        <v>0.25961715948502673</v>
      </c>
      <c r="D26" s="237" t="s">
        <v>660</v>
      </c>
      <c r="F26" s="6"/>
    </row>
    <row r="27" spans="1:18">
      <c r="A27" s="231" t="s">
        <v>53</v>
      </c>
      <c r="B27" s="33">
        <f>IF(ISERROR(TER_horeca_ele_kWh/1000),0,TER_horeca_ele_kWh/1000)</f>
        <v>1409.4780000000001</v>
      </c>
      <c r="C27" s="39">
        <f>IF(ISERROR(B27*3.6/1000000/'E Balans VL '!Z9*100),0,B27*3.6/1000000/'E Balans VL '!Z9*100)</f>
        <v>0.11310571020447995</v>
      </c>
      <c r="D27" s="237" t="s">
        <v>660</v>
      </c>
      <c r="F27" s="6"/>
    </row>
    <row r="28" spans="1:18">
      <c r="A28" s="171" t="s">
        <v>52</v>
      </c>
      <c r="B28" s="33">
        <f>IF(ISERROR(TER_handel_ele_kWh/1000),0,TER_handel_ele_kWh/1000)</f>
        <v>4907.2460000000001</v>
      </c>
      <c r="C28" s="39">
        <f>IF(ISERROR(B28*3.6/1000000/'E Balans VL '!Z13*100),0,B28*3.6/1000000/'E Balans VL '!Z13*100)</f>
        <v>0.14473561015963027</v>
      </c>
      <c r="D28" s="237" t="s">
        <v>660</v>
      </c>
      <c r="F28" s="6"/>
    </row>
    <row r="29" spans="1:18">
      <c r="A29" s="231" t="s">
        <v>51</v>
      </c>
      <c r="B29" s="33">
        <f>IF(ISERROR(TER_gezond_ele_kWh/1000),0,TER_gezond_ele_kWh/1000)</f>
        <v>1016.769</v>
      </c>
      <c r="C29" s="39">
        <f>IF(ISERROR(B29*3.6/1000000/'E Balans VL '!Z10*100),0,B29*3.6/1000000/'E Balans VL '!Z10*100)</f>
        <v>0.10856366860084596</v>
      </c>
      <c r="D29" s="237" t="s">
        <v>660</v>
      </c>
      <c r="F29" s="6"/>
    </row>
    <row r="30" spans="1:18">
      <c r="A30" s="231" t="s">
        <v>50</v>
      </c>
      <c r="B30" s="33">
        <f>IF(ISERROR(TER_ander_ele_kWh/1000),0,TER_ander_ele_kWh/1000)</f>
        <v>1453.2850000000001</v>
      </c>
      <c r="C30" s="39">
        <f>IF(ISERROR(B30*3.6/1000000/'E Balans VL '!Z14*100),0,B30*3.6/1000000/'E Balans VL '!Z14*100)</f>
        <v>0.10977232287000087</v>
      </c>
      <c r="D30" s="237" t="s">
        <v>660</v>
      </c>
      <c r="F30" s="6"/>
    </row>
    <row r="31" spans="1:18">
      <c r="A31" s="231" t="s">
        <v>55</v>
      </c>
      <c r="B31" s="33">
        <f>IF(ISERROR(TER_onderwijs_ele_kWh/1000),0,TER_onderwijs_ele_kWh/1000)</f>
        <v>212.79900000000001</v>
      </c>
      <c r="C31" s="39">
        <f>IF(ISERROR(B31*3.6/1000000/'E Balans VL '!Z11*100),0,B31*3.6/1000000/'E Balans VL '!Z11*100)</f>
        <v>4.2971221879416877E-2</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49171.753999999994</v>
      </c>
      <c r="C5" s="17">
        <f>IF(ISERROR('Eigen informatie GS &amp; warmtenet'!B59),0,'Eigen informatie GS &amp; warmtenet'!B59)</f>
        <v>0</v>
      </c>
      <c r="D5" s="30">
        <f>SUM(D6:D15)</f>
        <v>88179.711224000013</v>
      </c>
      <c r="E5" s="17">
        <f>SUM(E6:E15)</f>
        <v>2757.8692695647378</v>
      </c>
      <c r="F5" s="17">
        <f>SUM(F6:F15)</f>
        <v>16570.435089507788</v>
      </c>
      <c r="G5" s="18"/>
      <c r="H5" s="17"/>
      <c r="I5" s="17"/>
      <c r="J5" s="17">
        <f>SUM(J6:J15)</f>
        <v>42.960200475453654</v>
      </c>
      <c r="K5" s="17"/>
      <c r="L5" s="17"/>
      <c r="M5" s="17"/>
      <c r="N5" s="17">
        <f>SUM(N6:N15)</f>
        <v>16125.290688986493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7833.8940000000002</v>
      </c>
      <c r="C8" s="33"/>
      <c r="D8" s="37">
        <f>IF( ISERROR(IND_metaal_Gas_kWH/1000),0,IND_metaal_Gas_kWH/1000)*0.902</f>
        <v>23305.53775</v>
      </c>
      <c r="E8" s="33">
        <f>C30*'E Balans VL '!I18/100/3.6*1000000</f>
        <v>281.88720525586723</v>
      </c>
      <c r="F8" s="33">
        <f>C30*'E Balans VL '!L18/100/3.6*1000000+C30*'E Balans VL '!N18/100/3.6*1000000</f>
        <v>3420.8075622787019</v>
      </c>
      <c r="G8" s="34"/>
      <c r="H8" s="33"/>
      <c r="I8" s="33"/>
      <c r="J8" s="40">
        <f>C30*'E Balans VL '!D18/100/3.6*1000000+C30*'E Balans VL '!E18/100/3.6*1000000</f>
        <v>0</v>
      </c>
      <c r="K8" s="33"/>
      <c r="L8" s="33"/>
      <c r="M8" s="33"/>
      <c r="N8" s="33">
        <f>C30*'E Balans VL '!Y18/100/3.6*1000000</f>
        <v>392.62944358493036</v>
      </c>
      <c r="O8" s="33"/>
      <c r="P8" s="33"/>
      <c r="R8" s="32"/>
    </row>
    <row r="9" spans="1:18">
      <c r="A9" s="6" t="s">
        <v>33</v>
      </c>
      <c r="B9" s="37">
        <f t="shared" si="0"/>
        <v>6213.5990000000002</v>
      </c>
      <c r="C9" s="33"/>
      <c r="D9" s="37">
        <f>IF( ISERROR(IND_andere_gas_kWh/1000),0,IND_andere_gas_kWh/1000)*0.902</f>
        <v>1065.190742</v>
      </c>
      <c r="E9" s="33">
        <f>C31*'E Balans VL '!I19/100/3.6*1000000</f>
        <v>1585.5698781849403</v>
      </c>
      <c r="F9" s="33">
        <f>C31*'E Balans VL '!L19/100/3.6*1000000+C31*'E Balans VL '!N19/100/3.6*1000000</f>
        <v>5349.4417067425065</v>
      </c>
      <c r="G9" s="34"/>
      <c r="H9" s="33"/>
      <c r="I9" s="33"/>
      <c r="J9" s="40">
        <f>C31*'E Balans VL '!D19/100/3.6*1000000+C31*'E Balans VL '!E19/100/3.6*1000000</f>
        <v>0</v>
      </c>
      <c r="K9" s="33"/>
      <c r="L9" s="33"/>
      <c r="M9" s="33"/>
      <c r="N9" s="33">
        <f>C31*'E Balans VL '!Y19/100/3.6*1000000</f>
        <v>1943.2052008418527</v>
      </c>
      <c r="O9" s="33"/>
      <c r="P9" s="33"/>
      <c r="R9" s="32"/>
    </row>
    <row r="10" spans="1:18">
      <c r="A10" s="6" t="s">
        <v>41</v>
      </c>
      <c r="B10" s="37">
        <f t="shared" si="0"/>
        <v>33710.879999999997</v>
      </c>
      <c r="C10" s="33"/>
      <c r="D10" s="37">
        <f>IF( ISERROR(IND_voed_gas_kWh/1000),0,IND_voed_gas_kWh/1000)*0.902</f>
        <v>63065.503820000005</v>
      </c>
      <c r="E10" s="33">
        <f>C32*'E Balans VL '!I20/100/3.6*1000000</f>
        <v>856.97685843153147</v>
      </c>
      <c r="F10" s="33">
        <f>C32*'E Balans VL '!L20/100/3.6*1000000+C32*'E Balans VL '!N20/100/3.6*1000000</f>
        <v>7628.2661000499411</v>
      </c>
      <c r="G10" s="34"/>
      <c r="H10" s="33"/>
      <c r="I10" s="33"/>
      <c r="J10" s="40">
        <f>C32*'E Balans VL '!D20/100/3.6*1000000+C32*'E Balans VL '!E20/100/3.6*1000000</f>
        <v>0</v>
      </c>
      <c r="K10" s="33"/>
      <c r="L10" s="33"/>
      <c r="M10" s="33"/>
      <c r="N10" s="33">
        <f>C32*'E Balans VL '!Y20/100/3.6*1000000</f>
        <v>12642.493769344292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424.20400000000001</v>
      </c>
      <c r="C12" s="33"/>
      <c r="D12" s="37">
        <f>IF( ISERROR(IND_min_gas_kWh/1000),0,IND_min_gas_kWh/1000)*0.902</f>
        <v>0</v>
      </c>
      <c r="E12" s="33">
        <f>C34*'E Balans VL '!I22/100/3.6*1000000</f>
        <v>9.0132718505115221</v>
      </c>
      <c r="F12" s="33">
        <f>C34*'E Balans VL '!L22/100/3.6*1000000+C34*'E Balans VL '!N22/100/3.6*1000000</f>
        <v>69.212497708321138</v>
      </c>
      <c r="G12" s="34"/>
      <c r="H12" s="33"/>
      <c r="I12" s="33"/>
      <c r="J12" s="40">
        <f>C34*'E Balans VL '!D22/100/3.6*1000000+C34*'E Balans VL '!E22/100/3.6*1000000</f>
        <v>0.49423724693445159</v>
      </c>
      <c r="K12" s="33"/>
      <c r="L12" s="33"/>
      <c r="M12" s="33"/>
      <c r="N12" s="33">
        <f>C34*'E Balans VL '!Y22/100/3.6*1000000</f>
        <v>0</v>
      </c>
      <c r="O12" s="33"/>
      <c r="P12" s="33"/>
      <c r="R12" s="32"/>
    </row>
    <row r="13" spans="1:18">
      <c r="A13" s="6" t="s">
        <v>39</v>
      </c>
      <c r="B13" s="37">
        <f t="shared" si="0"/>
        <v>585.45399999999995</v>
      </c>
      <c r="C13" s="33"/>
      <c r="D13" s="37">
        <f>IF( ISERROR(IND_papier_gas_kWh/1000),0,IND_papier_gas_kWh/1000)*0.902</f>
        <v>0</v>
      </c>
      <c r="E13" s="33">
        <f>C35*'E Balans VL '!I23/100/3.6*1000000</f>
        <v>2.5108418870199372</v>
      </c>
      <c r="F13" s="33">
        <f>C35*'E Balans VL '!L23/100/3.6*1000000+C35*'E Balans VL '!N23/100/3.6*1000000</f>
        <v>14.714276153537201</v>
      </c>
      <c r="G13" s="34"/>
      <c r="H13" s="33"/>
      <c r="I13" s="33"/>
      <c r="J13" s="40">
        <f>C35*'E Balans VL '!D23/100/3.6*1000000+C35*'E Balans VL '!E23/100/3.6*1000000</f>
        <v>39.19293421690098</v>
      </c>
      <c r="K13" s="33"/>
      <c r="L13" s="33"/>
      <c r="M13" s="33"/>
      <c r="N13" s="33">
        <f>C35*'E Balans VL '!Y23/100/3.6*1000000</f>
        <v>1065.6655062730119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403.72300000000001</v>
      </c>
      <c r="C15" s="33"/>
      <c r="D15" s="37">
        <f>IF( ISERROR(IND_rest_gas_kWh/1000),0,IND_rest_gas_kWh/1000)*0.902</f>
        <v>743.47891200000004</v>
      </c>
      <c r="E15" s="33">
        <f>C37*'E Balans VL '!I15/100/3.6*1000000</f>
        <v>21.911213954867421</v>
      </c>
      <c r="F15" s="33">
        <f>C37*'E Balans VL '!L15/100/3.6*1000000+C37*'E Balans VL '!N15/100/3.6*1000000</f>
        <v>87.992946574777378</v>
      </c>
      <c r="G15" s="34"/>
      <c r="H15" s="33"/>
      <c r="I15" s="33"/>
      <c r="J15" s="40">
        <f>C37*'E Balans VL '!D15/100/3.6*1000000+C37*'E Balans VL '!E15/100/3.6*1000000</f>
        <v>3.2730290116182195</v>
      </c>
      <c r="K15" s="33"/>
      <c r="L15" s="33"/>
      <c r="M15" s="33"/>
      <c r="N15" s="33">
        <f>C37*'E Balans VL '!Y15/100/3.6*1000000</f>
        <v>81.296768942408363</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49171.753999999994</v>
      </c>
      <c r="C18" s="21">
        <f>C5+C16</f>
        <v>0</v>
      </c>
      <c r="D18" s="21">
        <f>MAX((D5+D16),0)</f>
        <v>88179.711224000013</v>
      </c>
      <c r="E18" s="21">
        <f>MAX((E5+E16),0)</f>
        <v>2757.8692695647378</v>
      </c>
      <c r="F18" s="21">
        <f>MAX((F5+F16),0)</f>
        <v>16570.435089507788</v>
      </c>
      <c r="G18" s="21"/>
      <c r="H18" s="21"/>
      <c r="I18" s="21"/>
      <c r="J18" s="21">
        <f>MAX((J5+J16),0)</f>
        <v>42.960200475453654</v>
      </c>
      <c r="K18" s="21"/>
      <c r="L18" s="21">
        <f>MAX((L5+L16),0)</f>
        <v>0</v>
      </c>
      <c r="M18" s="21"/>
      <c r="N18" s="21">
        <f>MAX((N5+N16),0)</f>
        <v>16125.290688986493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0.11585014765992079</v>
      </c>
      <c r="C20" s="25">
        <f ca="1">'EF ele_warmte'!B22</f>
        <v>7.8529411764705875E-2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5696.5549615972996</v>
      </c>
      <c r="C22" s="23">
        <f ca="1">C18*C20</f>
        <v>0</v>
      </c>
      <c r="D22" s="23">
        <f>D18*D20</f>
        <v>17812.301667248004</v>
      </c>
      <c r="E22" s="23">
        <f>E18*E20</f>
        <v>626.03632419119549</v>
      </c>
      <c r="F22" s="23">
        <f>F18*F20</f>
        <v>4424.3061688985799</v>
      </c>
      <c r="G22" s="23"/>
      <c r="H22" s="23"/>
      <c r="I22" s="23"/>
      <c r="J22" s="23">
        <f>J18*J20</f>
        <v>15.207910968310593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7833.8940000000002</v>
      </c>
      <c r="C30" s="39">
        <f>IF(ISERROR(B30*3.6/1000000/'E Balans VL '!Z18*100),0,B30*3.6/1000000/'E Balans VL '!Z18*100)</f>
        <v>1.6598341843391657</v>
      </c>
      <c r="D30" s="237" t="s">
        <v>660</v>
      </c>
    </row>
    <row r="31" spans="1:18">
      <c r="A31" s="6" t="s">
        <v>33</v>
      </c>
      <c r="B31" s="37">
        <f>IF( ISERROR(IND_ander_ele_kWh/1000),0,IND_ander_ele_kWh/1000)</f>
        <v>6213.5990000000002</v>
      </c>
      <c r="C31" s="39">
        <f>IF(ISERROR(B31*3.6/1000000/'E Balans VL '!Z19*100),0,B31*3.6/1000000/'E Balans VL '!Z19*100)</f>
        <v>0.26154449091261966</v>
      </c>
      <c r="D31" s="237" t="s">
        <v>660</v>
      </c>
    </row>
    <row r="32" spans="1:18">
      <c r="A32" s="171" t="s">
        <v>41</v>
      </c>
      <c r="B32" s="37">
        <f>IF( ISERROR(IND_voed_ele_kWh/1000),0,IND_voed_ele_kWh/1000)</f>
        <v>33710.879999999997</v>
      </c>
      <c r="C32" s="39">
        <f>IF(ISERROR(B32*3.6/1000000/'E Balans VL '!Z20*100),0,B32*3.6/1000000/'E Balans VL '!Z20*100)</f>
        <v>5.6317839163749248</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424.20400000000001</v>
      </c>
      <c r="C34" s="39">
        <f>IF(ISERROR(B34*3.6/1000000/'E Balans VL '!Z22*100),0,B34*3.6/1000000/'E Balans VL '!Z22*100)</f>
        <v>5.3770144725415303E-2</v>
      </c>
      <c r="D34" s="237" t="s">
        <v>660</v>
      </c>
    </row>
    <row r="35" spans="1:5">
      <c r="A35" s="171" t="s">
        <v>39</v>
      </c>
      <c r="B35" s="37">
        <f>IF( ISERROR(IND_papier_ele_kWh/1000),0,IND_papier_ele_kWh/1000)</f>
        <v>585.45399999999995</v>
      </c>
      <c r="C35" s="39">
        <f>IF(ISERROR(B35*3.6/1000000/'E Balans VL '!Z22*100),0,B35*3.6/1000000/'E Balans VL '!Z22*100)</f>
        <v>7.4209451844096899E-2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403.72300000000001</v>
      </c>
      <c r="C37" s="39">
        <f>IF(ISERROR(B37*3.6/1000000/'E Balans VL '!Z15*100),0,B37*3.6/1000000/'E Balans VL '!Z15*100)</f>
        <v>3.2594121077107303E-3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1322.4449999999999</v>
      </c>
      <c r="C5" s="17">
        <f>'Eigen informatie GS &amp; warmtenet'!B60</f>
        <v>0</v>
      </c>
      <c r="D5" s="30">
        <f>IF(ISERROR(SUM(LB_lb_gas_kWh,LB_rest_gas_kWh,onbekend_gas_kWh)/1000),0,SUM(LB_lb_gas_kWh,LB_rest_gas_kWh,onbekend_gas_kWh)/1000)*0.902</f>
        <v>1694.6306960000002</v>
      </c>
      <c r="E5" s="17">
        <f>B17*'E Balans VL '!I25/3.6*1000000/100</f>
        <v>34.10077894824569</v>
      </c>
      <c r="F5" s="17">
        <f>B17*('E Balans VL '!L25/3.6*1000000+'E Balans VL '!N25/3.6*1000000)/100</f>
        <v>4833.7883224162224</v>
      </c>
      <c r="G5" s="18"/>
      <c r="H5" s="17"/>
      <c r="I5" s="17"/>
      <c r="J5" s="17">
        <f>('E Balans VL '!D25+'E Balans VL '!E25)/3.6*1000000*landbouw!B17/100</f>
        <v>190.38343166928564</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1322.4449999999999</v>
      </c>
      <c r="C8" s="21">
        <f>C5+C6</f>
        <v>0</v>
      </c>
      <c r="D8" s="21">
        <f>MAX((D5+D6),0)</f>
        <v>1694.6306960000002</v>
      </c>
      <c r="E8" s="21">
        <f>MAX((E5+E6),0)</f>
        <v>34.10077894824569</v>
      </c>
      <c r="F8" s="21">
        <f>MAX((F5+F6),0)</f>
        <v>4833.7883224162224</v>
      </c>
      <c r="G8" s="21"/>
      <c r="H8" s="21"/>
      <c r="I8" s="21"/>
      <c r="J8" s="21">
        <f>MAX((J5+J6),0)</f>
        <v>190.38343166928564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0.11585014765992079</v>
      </c>
      <c r="C10" s="31">
        <f ca="1">'EF ele_warmte'!B22</f>
        <v>7.8529411764705875E-2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153.20544852212393</v>
      </c>
      <c r="C12" s="23">
        <f ca="1">C8*C10</f>
        <v>0</v>
      </c>
      <c r="D12" s="23">
        <f>D8*D10</f>
        <v>342.31540059200006</v>
      </c>
      <c r="E12" s="23">
        <f>E8*E10</f>
        <v>7.7408768212517716</v>
      </c>
      <c r="F12" s="23">
        <f>F8*F10</f>
        <v>1290.6214820851314</v>
      </c>
      <c r="G12" s="23"/>
      <c r="H12" s="23"/>
      <c r="I12" s="23"/>
      <c r="J12" s="23">
        <f>J8*J10</f>
        <v>67.395734810927109</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0.18647350467926282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196.71662176263456</v>
      </c>
      <c r="C26" s="247">
        <f>B26*'GWP N2O_CH4'!B5</f>
        <v>4131.0490570153261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115.21864592972658</v>
      </c>
      <c r="C27" s="247">
        <f>B27*'GWP N2O_CH4'!B5</f>
        <v>2419.591564524258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3.0450438806135085</v>
      </c>
      <c r="C28" s="247">
        <f>B28*'GWP N2O_CH4'!B4</f>
        <v>943.96360299018761</v>
      </c>
      <c r="D28" s="50"/>
    </row>
    <row r="29" spans="1:4">
      <c r="A29" s="41" t="s">
        <v>277</v>
      </c>
      <c r="B29" s="247">
        <f>B34*'ha_N2O bodem landbouw'!B4</f>
        <v>11.898626540393181</v>
      </c>
      <c r="C29" s="247">
        <f>B29*'GWP N2O_CH4'!B4</f>
        <v>3688.5742275218863</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2.6778375617635877E-3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3.4448256281183133E-4</v>
      </c>
      <c r="C5" s="463" t="s">
        <v>211</v>
      </c>
      <c r="D5" s="448">
        <f>SUM(D6:D11)</f>
        <v>7.5175984334749032E-4</v>
      </c>
      <c r="E5" s="448">
        <f>SUM(E6:E11)</f>
        <v>3.4697237437768392E-3</v>
      </c>
      <c r="F5" s="461" t="s">
        <v>211</v>
      </c>
      <c r="G5" s="448">
        <f>SUM(G6:G11)</f>
        <v>1.1884367832296316</v>
      </c>
      <c r="H5" s="448">
        <f>SUM(H6:H11)</f>
        <v>0.20919839485630096</v>
      </c>
      <c r="I5" s="463" t="s">
        <v>211</v>
      </c>
      <c r="J5" s="463" t="s">
        <v>211</v>
      </c>
      <c r="K5" s="463" t="s">
        <v>211</v>
      </c>
      <c r="L5" s="463" t="s">
        <v>211</v>
      </c>
      <c r="M5" s="448">
        <f>SUM(M6:M11)</f>
        <v>4.3708844445050757E-2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4.8746973687279727E-5</v>
      </c>
      <c r="C6" s="449"/>
      <c r="D6" s="962">
        <f>vkm_2011_GW_PW*SUMIFS(TableVerdeelsleutelVkm[CNG],TableVerdeelsleutelVkm[Voertuigtype],"Lichte voertuigen")*SUMIFS(TableECFTransport[EnergieConsumptieFactor (PJ per km)],TableECFTransport[Index],CONCATENATE($A6,"_CNG_CNG"))</f>
        <v>9.6861090594669306E-5</v>
      </c>
      <c r="E6" s="962">
        <f>vkm_2011_GW_PW*SUMIFS(TableVerdeelsleutelVkm[LPG],TableVerdeelsleutelVkm[Voertuigtype],"Lichte voertuigen")*SUMIFS(TableECFTransport[EnergieConsumptieFactor (PJ per km)],TableECFTransport[Index],CONCATENATE($A6,"_LPG_LPG"))</f>
        <v>3.8118311358807829E-4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9.0632265255950084E-2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2.6223211225465084E-2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3.6413245530855847E-3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6.7739731286431413E-3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2.188282660705684E-6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2.1343752858939052E-4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2.7632508496491237E-5</v>
      </c>
      <c r="C8" s="449"/>
      <c r="D8" s="451">
        <f>vkm_2011_NGW_PW*SUMIFS(TableVerdeelsleutelVkm[CNG],TableVerdeelsleutelVkm[Voertuigtype],"Lichte voertuigen")*SUMIFS(TableECFTransport[EnergieConsumptieFactor (PJ per km)],TableECFTransport[Index],CONCATENATE($A8,"_CNG_CNG"))</f>
        <v>9.7218989783064716E-5</v>
      </c>
      <c r="E8" s="451">
        <f>vkm_2011_NGW_PW*SUMIFS(TableVerdeelsleutelVkm[LPG],TableVerdeelsleutelVkm[Voertuigtype],"Lichte voertuigen")*SUMIFS(TableECFTransport[EnergieConsumptieFactor (PJ per km)],TableECFTransport[Index],CONCATENATE($A8,"_LPG_LPG"))</f>
        <v>3.5382961659665698E-4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7.8560121397110494E-2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2.5521408427909929E-2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3.2400174097936881E-3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9.7606394967982067E-4</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2.9819581277624493E-7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3.0753768282238957E-5</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2.6810308062806039E-4</v>
      </c>
      <c r="C10" s="449"/>
      <c r="D10" s="451">
        <f>vkm_2011_SW_PW*SUMIFS(TableVerdeelsleutelVkm[CNG],TableVerdeelsleutelVkm[Voertuigtype],"Lichte voertuigen")*SUMIFS(TableECFTransport[EnergieConsumptieFactor (PJ per km)],TableECFTransport[Index],CONCATENATE($A10,"_CNG_CNG"))</f>
        <v>5.5767976296975633E-4</v>
      </c>
      <c r="E10" s="451">
        <f>vkm_2011_SW_PW*SUMIFS(TableVerdeelsleutelVkm[LPG],TableVerdeelsleutelVkm[Voertuigtype],"Lichte voertuigen")*SUMIFS(TableECFTransport[EnergieConsumptieFactor (PJ per km)],TableECFTransport[Index],CONCATENATE($A10,"_LPG_LPG"))</f>
        <v>2.7347110135921039E-3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0.58246204697222037</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0.15730196038560593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2.3064837565090226E-2</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0.42903231252602769</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1.4932833884655078E-4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1.3518473620209628E-2</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95.689600781064257</v>
      </c>
      <c r="C14" s="21"/>
      <c r="D14" s="21">
        <f t="shared" ref="D14:M14" si="0">((D5)*10^9/3600)+D12</f>
        <v>208.8221787076362</v>
      </c>
      <c r="E14" s="21">
        <f t="shared" si="0"/>
        <v>963.81215104912201</v>
      </c>
      <c r="F14" s="21"/>
      <c r="G14" s="21">
        <f t="shared" si="0"/>
        <v>330121.32867489767</v>
      </c>
      <c r="H14" s="21">
        <f t="shared" si="0"/>
        <v>58110.665237861373</v>
      </c>
      <c r="I14" s="21"/>
      <c r="J14" s="21"/>
      <c r="K14" s="21"/>
      <c r="L14" s="21"/>
      <c r="M14" s="21">
        <f t="shared" si="0"/>
        <v>12141.345679180766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0.11585014765992079</v>
      </c>
      <c r="C16" s="56">
        <f ca="1">'EF ele_warmte'!B22</f>
        <v>7.8529411764705875E-2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11.085654380005165</v>
      </c>
      <c r="C18" s="23"/>
      <c r="D18" s="23">
        <f t="shared" ref="D18:M18" si="1">D14*D16</f>
        <v>42.182080098942514</v>
      </c>
      <c r="E18" s="23">
        <f t="shared" si="1"/>
        <v>218.78535828815069</v>
      </c>
      <c r="F18" s="23"/>
      <c r="G18" s="23">
        <f t="shared" si="1"/>
        <v>88142.394756197682</v>
      </c>
      <c r="H18" s="23">
        <f t="shared" si="1"/>
        <v>14469.555644227481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7.4709657191850808E-3</v>
      </c>
      <c r="H50" s="321">
        <f t="shared" si="2"/>
        <v>0</v>
      </c>
      <c r="I50" s="321">
        <f t="shared" si="2"/>
        <v>0</v>
      </c>
      <c r="J50" s="321">
        <f t="shared" si="2"/>
        <v>0</v>
      </c>
      <c r="K50" s="321">
        <f t="shared" si="2"/>
        <v>0</v>
      </c>
      <c r="L50" s="321">
        <f t="shared" si="2"/>
        <v>0</v>
      </c>
      <c r="M50" s="321">
        <f t="shared" si="2"/>
        <v>2.3173264269843319E-4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7.4709657191850808E-3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2.3173264269843319E-4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2075.2682553291888</v>
      </c>
      <c r="H54" s="21">
        <f t="shared" si="3"/>
        <v>0</v>
      </c>
      <c r="I54" s="21">
        <f t="shared" si="3"/>
        <v>0</v>
      </c>
      <c r="J54" s="21">
        <f t="shared" si="3"/>
        <v>0</v>
      </c>
      <c r="K54" s="21">
        <f t="shared" si="3"/>
        <v>0</v>
      </c>
      <c r="L54" s="21">
        <f t="shared" si="3"/>
        <v>0</v>
      </c>
      <c r="M54" s="21">
        <f t="shared" si="3"/>
        <v>64.37017852734256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0.11585014765992079</v>
      </c>
      <c r="C56" s="56">
        <f ca="1">'EF ele_warmte'!B22</f>
        <v>7.8529411764705875E-2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554.09662417289348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35980.299571628704</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10853.08189551115</v>
      </c>
      <c r="C6" s="1203"/>
      <c r="D6" s="1188"/>
      <c r="E6" s="1188"/>
      <c r="F6" s="1206"/>
      <c r="G6" s="1209"/>
      <c r="H6" s="1200"/>
      <c r="I6" s="1188"/>
      <c r="J6" s="1188"/>
      <c r="K6" s="1188"/>
      <c r="L6" s="1192"/>
      <c r="M6" s="575"/>
      <c r="N6" s="1166"/>
      <c r="O6" s="1167"/>
      <c r="Q6" s="573"/>
      <c r="R6" s="1154"/>
      <c r="S6" s="1154"/>
    </row>
    <row r="7" spans="1:19" s="563" customFormat="1">
      <c r="A7" s="576" t="s">
        <v>252</v>
      </c>
      <c r="B7" s="577">
        <f>N57</f>
        <v>3645.0000000000005</v>
      </c>
      <c r="C7" s="578">
        <f>B100</f>
        <v>0</v>
      </c>
      <c r="D7" s="579"/>
      <c r="E7" s="579">
        <f>E100</f>
        <v>1072.0588235294117</v>
      </c>
      <c r="F7" s="580"/>
      <c r="G7" s="581"/>
      <c r="H7" s="579">
        <f>I100</f>
        <v>0</v>
      </c>
      <c r="I7" s="579">
        <f>G100+F100</f>
        <v>3216.1764705882347</v>
      </c>
      <c r="J7" s="579">
        <f>H100+D100+C100</f>
        <v>0</v>
      </c>
      <c r="K7" s="579"/>
      <c r="L7" s="582"/>
      <c r="M7" s="583">
        <f>C7*$C$11+D7*$D$11+E7*$E$11+F7*$F$11+G7*$G$11+H7*$H$11+I7*$I$11+J7*$J$11</f>
        <v>286.23970588235295</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50478.381467139858</v>
      </c>
      <c r="C9" s="594">
        <f t="shared" ref="C9:L9" si="0">SUM(C7:C8)</f>
        <v>0</v>
      </c>
      <c r="D9" s="594">
        <f t="shared" si="0"/>
        <v>0</v>
      </c>
      <c r="E9" s="594">
        <f t="shared" si="0"/>
        <v>1072.0588235294117</v>
      </c>
      <c r="F9" s="594">
        <f t="shared" si="0"/>
        <v>0</v>
      </c>
      <c r="G9" s="594">
        <f t="shared" si="0"/>
        <v>0</v>
      </c>
      <c r="H9" s="594">
        <f t="shared" si="0"/>
        <v>0</v>
      </c>
      <c r="I9" s="594">
        <f t="shared" si="0"/>
        <v>3216.1764705882347</v>
      </c>
      <c r="J9" s="594">
        <f t="shared" si="0"/>
        <v>0</v>
      </c>
      <c r="K9" s="594">
        <f t="shared" si="0"/>
        <v>0</v>
      </c>
      <c r="L9" s="594">
        <f t="shared" si="0"/>
        <v>0</v>
      </c>
      <c r="M9" s="595">
        <f>SUM(M4:M8)</f>
        <v>286.23970588235295</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4100.6250000000009</v>
      </c>
      <c r="C16" s="610">
        <f>B101</f>
        <v>0</v>
      </c>
      <c r="D16" s="611"/>
      <c r="E16" s="611">
        <f>E101</f>
        <v>1206.0661764705883</v>
      </c>
      <c r="F16" s="612"/>
      <c r="G16" s="613"/>
      <c r="H16" s="610">
        <f>I101</f>
        <v>0</v>
      </c>
      <c r="I16" s="611">
        <f>G101+F101</f>
        <v>3618.1985294117649</v>
      </c>
      <c r="J16" s="611">
        <f>H101+D101+C101</f>
        <v>0</v>
      </c>
      <c r="K16" s="611"/>
      <c r="L16" s="614"/>
      <c r="M16" s="615">
        <f>C16*$C$21+E16*$E$21+H16*$H$21+I16*$I$21+J16*$J$21+D16*$D$21+F16*$F$21+G16*$G$21+K16*$K$21+L16*$L$21</f>
        <v>322.01966911764708</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4100.6250000000009</v>
      </c>
      <c r="C19" s="593">
        <f>SUM(C16:C18)</f>
        <v>0</v>
      </c>
      <c r="D19" s="593">
        <f t="shared" ref="D19:M19" si="1">SUM(D16:D18)</f>
        <v>0</v>
      </c>
      <c r="E19" s="593">
        <f t="shared" si="1"/>
        <v>1206.0661764705883</v>
      </c>
      <c r="F19" s="593">
        <f t="shared" si="1"/>
        <v>0</v>
      </c>
      <c r="G19" s="593">
        <f t="shared" si="1"/>
        <v>0</v>
      </c>
      <c r="H19" s="593">
        <f t="shared" si="1"/>
        <v>0</v>
      </c>
      <c r="I19" s="593">
        <f t="shared" si="1"/>
        <v>3618.1985294117649</v>
      </c>
      <c r="J19" s="593">
        <f t="shared" si="1"/>
        <v>0</v>
      </c>
      <c r="K19" s="593">
        <f t="shared" si="1"/>
        <v>0</v>
      </c>
      <c r="L19" s="593">
        <f t="shared" si="1"/>
        <v>0</v>
      </c>
      <c r="M19" s="620">
        <f t="shared" si="1"/>
        <v>322.01966911764708</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63.75">
      <c r="A27" s="624"/>
      <c r="B27" s="851">
        <v>71037</v>
      </c>
      <c r="C27" s="851">
        <v>3560</v>
      </c>
      <c r="D27" s="672" t="s">
        <v>818</v>
      </c>
      <c r="E27" s="671" t="s">
        <v>819</v>
      </c>
      <c r="F27" s="671" t="s">
        <v>820</v>
      </c>
      <c r="G27" s="671" t="s">
        <v>821</v>
      </c>
      <c r="H27" s="671" t="s">
        <v>822</v>
      </c>
      <c r="I27" s="671" t="s">
        <v>819</v>
      </c>
      <c r="J27" s="850">
        <v>40575</v>
      </c>
      <c r="K27" s="850">
        <v>40616</v>
      </c>
      <c r="L27" s="671" t="s">
        <v>823</v>
      </c>
      <c r="M27" s="671">
        <v>810</v>
      </c>
      <c r="N27" s="671">
        <v>3645.0000000000005</v>
      </c>
      <c r="O27" s="671">
        <v>4100.6250000000009</v>
      </c>
      <c r="P27" s="671">
        <v>0</v>
      </c>
      <c r="Q27" s="671">
        <v>0</v>
      </c>
      <c r="R27" s="671">
        <v>0</v>
      </c>
      <c r="S27" s="671">
        <v>2278.125</v>
      </c>
      <c r="T27" s="671">
        <v>6834.375</v>
      </c>
      <c r="U27" s="671">
        <v>0</v>
      </c>
      <c r="V27" s="671">
        <v>0</v>
      </c>
      <c r="W27" s="671">
        <v>0</v>
      </c>
      <c r="X27" s="671">
        <v>1600</v>
      </c>
      <c r="Y27" s="671" t="s">
        <v>50</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810</v>
      </c>
      <c r="N57" s="629">
        <f>SUM(N27:N56)</f>
        <v>3645.0000000000005</v>
      </c>
      <c r="O57" s="629">
        <f t="shared" ref="O57:W57" si="2">SUM(O27:O56)</f>
        <v>4100.6250000000009</v>
      </c>
      <c r="P57" s="629">
        <f t="shared" si="2"/>
        <v>0</v>
      </c>
      <c r="Q57" s="629">
        <f t="shared" si="2"/>
        <v>0</v>
      </c>
      <c r="R57" s="629">
        <f t="shared" si="2"/>
        <v>0</v>
      </c>
      <c r="S57" s="629">
        <f t="shared" si="2"/>
        <v>2278.125</v>
      </c>
      <c r="T57" s="629">
        <f t="shared" si="2"/>
        <v>6834.375</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810</v>
      </c>
      <c r="N59" s="629">
        <f ca="1">SUMIF($Z$27:AB56,"tertiair",N27:N56)</f>
        <v>3645.0000000000005</v>
      </c>
      <c r="O59" s="629">
        <f ca="1">SUMIF($Z$27:AC56,"tertiair",O27:O56)</f>
        <v>4100.6250000000009</v>
      </c>
      <c r="P59" s="629">
        <f ca="1">SUMIF($Z$27:AD56,"tertiair",P27:P56)</f>
        <v>0</v>
      </c>
      <c r="Q59" s="629">
        <f ca="1">SUMIF($Z$27:AE56,"tertiair",Q27:Q56)</f>
        <v>0</v>
      </c>
      <c r="R59" s="629">
        <f ca="1">SUMIF($Z$27:AF56,"tertiair",R27:R56)</f>
        <v>0</v>
      </c>
      <c r="S59" s="629">
        <f ca="1">SUMIF($Z$27:AG56,"tertiair",S27:S56)</f>
        <v>2278.125</v>
      </c>
      <c r="T59" s="629">
        <f ca="1">SUMIF($Z$27:AH56,"tertiair",T27:T56)</f>
        <v>6834.375</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0.52941176470588236</v>
      </c>
      <c r="C97" s="654">
        <f>IF(ISERROR(N57/(O57+N57)),0,N57/(N57+O57))</f>
        <v>0.47058823529411759</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1072.0588235294117</v>
      </c>
      <c r="F100" s="663">
        <f t="shared" si="9"/>
        <v>3216.1764705882347</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1206.0661764705883</v>
      </c>
      <c r="F101" s="666">
        <f t="shared" si="10"/>
        <v>3618.1985294117649</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25845.691999999999</v>
      </c>
      <c r="D10" s="718">
        <f ca="1">tertiair!C16</f>
        <v>4100.6250000000009</v>
      </c>
      <c r="E10" s="718">
        <f ca="1">tertiair!D16</f>
        <v>19531.020432000001</v>
      </c>
      <c r="F10" s="718">
        <f>tertiair!E16</f>
        <v>362.87976832981252</v>
      </c>
      <c r="G10" s="718">
        <f ca="1">tertiair!F16</f>
        <v>3011.7128581725756</v>
      </c>
      <c r="H10" s="718">
        <f>tertiair!G16</f>
        <v>0</v>
      </c>
      <c r="I10" s="718">
        <f>tertiair!H16</f>
        <v>0</v>
      </c>
      <c r="J10" s="718">
        <f>tertiair!I16</f>
        <v>0</v>
      </c>
      <c r="K10" s="718">
        <f>tertiair!J16</f>
        <v>0</v>
      </c>
      <c r="L10" s="718">
        <f>tertiair!K16</f>
        <v>0</v>
      </c>
      <c r="M10" s="718">
        <f ca="1">tertiair!L16</f>
        <v>0</v>
      </c>
      <c r="N10" s="718">
        <f>tertiair!M16</f>
        <v>0</v>
      </c>
      <c r="O10" s="718">
        <f ca="1">tertiair!N16</f>
        <v>1175.9491814935509</v>
      </c>
      <c r="P10" s="718">
        <f>tertiair!O16</f>
        <v>1.5633333333333335</v>
      </c>
      <c r="Q10" s="719">
        <f>tertiair!P16</f>
        <v>19.066666666666666</v>
      </c>
      <c r="R10" s="721">
        <f ca="1">SUM(C10:Q10)</f>
        <v>54048.509239995939</v>
      </c>
      <c r="S10" s="67"/>
    </row>
    <row r="11" spans="1:19" s="474" customFormat="1">
      <c r="A11" s="870" t="s">
        <v>225</v>
      </c>
      <c r="B11" s="875"/>
      <c r="C11" s="718">
        <f>huishoudens!B8</f>
        <v>26935.773295191208</v>
      </c>
      <c r="D11" s="718">
        <f>huishoudens!C8</f>
        <v>0</v>
      </c>
      <c r="E11" s="718">
        <f>huishoudens!D8</f>
        <v>29081.581342000001</v>
      </c>
      <c r="F11" s="718">
        <f>huishoudens!E8</f>
        <v>2826.7465377628741</v>
      </c>
      <c r="G11" s="718">
        <f>huishoudens!F8</f>
        <v>60412.358140286306</v>
      </c>
      <c r="H11" s="718">
        <f>huishoudens!G8</f>
        <v>0</v>
      </c>
      <c r="I11" s="718">
        <f>huishoudens!H8</f>
        <v>0</v>
      </c>
      <c r="J11" s="718">
        <f>huishoudens!I8</f>
        <v>0</v>
      </c>
      <c r="K11" s="718">
        <f>huishoudens!J8</f>
        <v>0</v>
      </c>
      <c r="L11" s="718">
        <f>huishoudens!K8</f>
        <v>0</v>
      </c>
      <c r="M11" s="718">
        <f>huishoudens!L8</f>
        <v>0</v>
      </c>
      <c r="N11" s="718">
        <f>huishoudens!M8</f>
        <v>0</v>
      </c>
      <c r="O11" s="718">
        <f>huishoudens!N8</f>
        <v>17561.570732236301</v>
      </c>
      <c r="P11" s="718">
        <f>huishoudens!O8</f>
        <v>409.59333333333336</v>
      </c>
      <c r="Q11" s="719">
        <f>huishoudens!P8</f>
        <v>1239.3333333333333</v>
      </c>
      <c r="R11" s="721">
        <f>SUM(C11:Q11)</f>
        <v>138466.95671414337</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49171.753999999994</v>
      </c>
      <c r="D13" s="718">
        <f>industrie!C18</f>
        <v>0</v>
      </c>
      <c r="E13" s="718">
        <f>industrie!D18</f>
        <v>88179.711224000013</v>
      </c>
      <c r="F13" s="718">
        <f>industrie!E18</f>
        <v>2757.8692695647378</v>
      </c>
      <c r="G13" s="718">
        <f>industrie!F18</f>
        <v>16570.435089507788</v>
      </c>
      <c r="H13" s="718">
        <f>industrie!G18</f>
        <v>0</v>
      </c>
      <c r="I13" s="718">
        <f>industrie!H18</f>
        <v>0</v>
      </c>
      <c r="J13" s="718">
        <f>industrie!I18</f>
        <v>0</v>
      </c>
      <c r="K13" s="718">
        <f>industrie!J18</f>
        <v>42.960200475453654</v>
      </c>
      <c r="L13" s="718">
        <f>industrie!K18</f>
        <v>0</v>
      </c>
      <c r="M13" s="718">
        <f>industrie!L18</f>
        <v>0</v>
      </c>
      <c r="N13" s="718">
        <f>industrie!M18</f>
        <v>0</v>
      </c>
      <c r="O13" s="718">
        <f>industrie!N18</f>
        <v>16125.290688986493</v>
      </c>
      <c r="P13" s="718">
        <f>industrie!O18</f>
        <v>0</v>
      </c>
      <c r="Q13" s="719">
        <f>industrie!P18</f>
        <v>0</v>
      </c>
      <c r="R13" s="721">
        <f>SUM(C13:Q13)</f>
        <v>172848.02047253447</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101953.2192951912</v>
      </c>
      <c r="D15" s="723">
        <f t="shared" ref="D15:Q15" ca="1" si="0">SUM(D9:D14)</f>
        <v>4100.6250000000009</v>
      </c>
      <c r="E15" s="723">
        <f t="shared" ca="1" si="0"/>
        <v>136792.31299800001</v>
      </c>
      <c r="F15" s="723">
        <f t="shared" si="0"/>
        <v>5947.4955756574245</v>
      </c>
      <c r="G15" s="723">
        <f t="shared" ca="1" si="0"/>
        <v>79994.506087966671</v>
      </c>
      <c r="H15" s="723">
        <f t="shared" si="0"/>
        <v>0</v>
      </c>
      <c r="I15" s="723">
        <f t="shared" si="0"/>
        <v>0</v>
      </c>
      <c r="J15" s="723">
        <f t="shared" si="0"/>
        <v>0</v>
      </c>
      <c r="K15" s="723">
        <f t="shared" si="0"/>
        <v>42.960200475453654</v>
      </c>
      <c r="L15" s="723">
        <f t="shared" si="0"/>
        <v>0</v>
      </c>
      <c r="M15" s="723">
        <f t="shared" ca="1" si="0"/>
        <v>0</v>
      </c>
      <c r="N15" s="723">
        <f t="shared" si="0"/>
        <v>0</v>
      </c>
      <c r="O15" s="723">
        <f t="shared" ca="1" si="0"/>
        <v>34862.810602716345</v>
      </c>
      <c r="P15" s="723">
        <f t="shared" si="0"/>
        <v>411.15666666666669</v>
      </c>
      <c r="Q15" s="724">
        <f t="shared" si="0"/>
        <v>1258.3999999999999</v>
      </c>
      <c r="R15" s="725">
        <f ca="1">SUM(R9:R14)</f>
        <v>365363.48642667377</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2075.2682553291888</v>
      </c>
      <c r="I18" s="718">
        <f>transport!H54</f>
        <v>0</v>
      </c>
      <c r="J18" s="718">
        <f>transport!I54</f>
        <v>0</v>
      </c>
      <c r="K18" s="718">
        <f>transport!J54</f>
        <v>0</v>
      </c>
      <c r="L18" s="718">
        <f>transport!K54</f>
        <v>0</v>
      </c>
      <c r="M18" s="718">
        <f>transport!L54</f>
        <v>0</v>
      </c>
      <c r="N18" s="718">
        <f>transport!M54</f>
        <v>64.37017852734256</v>
      </c>
      <c r="O18" s="718">
        <f>transport!N54</f>
        <v>0</v>
      </c>
      <c r="P18" s="718">
        <f>transport!O54</f>
        <v>0</v>
      </c>
      <c r="Q18" s="719">
        <f>transport!P54</f>
        <v>0</v>
      </c>
      <c r="R18" s="721">
        <f>SUM(C18:Q18)</f>
        <v>2139.6384338565313</v>
      </c>
      <c r="S18" s="67"/>
    </row>
    <row r="19" spans="1:19" s="474" customFormat="1" ht="15" thickBot="1">
      <c r="A19" s="870" t="s">
        <v>307</v>
      </c>
      <c r="B19" s="875"/>
      <c r="C19" s="727">
        <f>transport!B14</f>
        <v>95.689600781064257</v>
      </c>
      <c r="D19" s="727">
        <f>transport!C14</f>
        <v>0</v>
      </c>
      <c r="E19" s="727">
        <f>transport!D14</f>
        <v>208.8221787076362</v>
      </c>
      <c r="F19" s="727">
        <f>transport!E14</f>
        <v>963.81215104912201</v>
      </c>
      <c r="G19" s="727">
        <f>transport!F14</f>
        <v>0</v>
      </c>
      <c r="H19" s="727">
        <f>transport!G14</f>
        <v>330121.32867489767</v>
      </c>
      <c r="I19" s="727">
        <f>transport!H14</f>
        <v>58110.665237861373</v>
      </c>
      <c r="J19" s="727">
        <f>transport!I14</f>
        <v>0</v>
      </c>
      <c r="K19" s="727">
        <f>transport!J14</f>
        <v>0</v>
      </c>
      <c r="L19" s="727">
        <f>transport!K14</f>
        <v>0</v>
      </c>
      <c r="M19" s="727">
        <f>transport!L14</f>
        <v>0</v>
      </c>
      <c r="N19" s="727">
        <f>transport!M14</f>
        <v>12141.345679180766</v>
      </c>
      <c r="O19" s="727">
        <f>transport!N14</f>
        <v>0</v>
      </c>
      <c r="P19" s="727">
        <f>transport!O14</f>
        <v>0</v>
      </c>
      <c r="Q19" s="728">
        <f>transport!P14</f>
        <v>0</v>
      </c>
      <c r="R19" s="729">
        <f>SUM(C19:Q19)</f>
        <v>401641.66352247761</v>
      </c>
      <c r="S19" s="67"/>
    </row>
    <row r="20" spans="1:19" s="474" customFormat="1" ht="15.75" thickBot="1">
      <c r="A20" s="730" t="s">
        <v>230</v>
      </c>
      <c r="B20" s="878"/>
      <c r="C20" s="873">
        <f>SUM(C17:C19)</f>
        <v>95.689600781064257</v>
      </c>
      <c r="D20" s="731">
        <f t="shared" ref="D20:R20" si="1">SUM(D17:D19)</f>
        <v>0</v>
      </c>
      <c r="E20" s="731">
        <f t="shared" si="1"/>
        <v>208.8221787076362</v>
      </c>
      <c r="F20" s="731">
        <f t="shared" si="1"/>
        <v>963.81215104912201</v>
      </c>
      <c r="G20" s="731">
        <f t="shared" si="1"/>
        <v>0</v>
      </c>
      <c r="H20" s="731">
        <f t="shared" si="1"/>
        <v>332196.59693022683</v>
      </c>
      <c r="I20" s="731">
        <f t="shared" si="1"/>
        <v>58110.665237861373</v>
      </c>
      <c r="J20" s="731">
        <f t="shared" si="1"/>
        <v>0</v>
      </c>
      <c r="K20" s="731">
        <f t="shared" si="1"/>
        <v>0</v>
      </c>
      <c r="L20" s="731">
        <f t="shared" si="1"/>
        <v>0</v>
      </c>
      <c r="M20" s="731">
        <f t="shared" si="1"/>
        <v>0</v>
      </c>
      <c r="N20" s="731">
        <f t="shared" si="1"/>
        <v>12205.715857708108</v>
      </c>
      <c r="O20" s="731">
        <f t="shared" si="1"/>
        <v>0</v>
      </c>
      <c r="P20" s="731">
        <f t="shared" si="1"/>
        <v>0</v>
      </c>
      <c r="Q20" s="732">
        <f t="shared" si="1"/>
        <v>0</v>
      </c>
      <c r="R20" s="733">
        <f t="shared" si="1"/>
        <v>403781.30195633415</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1322.4449999999999</v>
      </c>
      <c r="D22" s="727">
        <f>+landbouw!C8</f>
        <v>0</v>
      </c>
      <c r="E22" s="727">
        <f>+landbouw!D8</f>
        <v>1694.6306960000002</v>
      </c>
      <c r="F22" s="727">
        <f>+landbouw!E8</f>
        <v>34.10077894824569</v>
      </c>
      <c r="G22" s="727">
        <f>+landbouw!F8</f>
        <v>4833.7883224162224</v>
      </c>
      <c r="H22" s="727">
        <f>+landbouw!G8</f>
        <v>0</v>
      </c>
      <c r="I22" s="727">
        <f>+landbouw!H8</f>
        <v>0</v>
      </c>
      <c r="J22" s="727">
        <f>+landbouw!I8</f>
        <v>0</v>
      </c>
      <c r="K22" s="727">
        <f>+landbouw!J8</f>
        <v>190.38343166928564</v>
      </c>
      <c r="L22" s="727">
        <f>+landbouw!K8</f>
        <v>0</v>
      </c>
      <c r="M22" s="727">
        <f>+landbouw!L8</f>
        <v>0</v>
      </c>
      <c r="N22" s="727">
        <f>+landbouw!M8</f>
        <v>0</v>
      </c>
      <c r="O22" s="727">
        <f>+landbouw!N8</f>
        <v>0</v>
      </c>
      <c r="P22" s="727">
        <f>+landbouw!O8</f>
        <v>0</v>
      </c>
      <c r="Q22" s="728">
        <f>+landbouw!P8</f>
        <v>0</v>
      </c>
      <c r="R22" s="729">
        <f>SUM(C22:Q22)</f>
        <v>8075.3482290337533</v>
      </c>
      <c r="S22" s="67"/>
    </row>
    <row r="23" spans="1:19" s="474" customFormat="1" ht="17.25" thickTop="1" thickBot="1">
      <c r="A23" s="734" t="s">
        <v>116</v>
      </c>
      <c r="B23" s="864"/>
      <c r="C23" s="735">
        <f ca="1">C20+C15+C22</f>
        <v>103371.35389597226</v>
      </c>
      <c r="D23" s="735">
        <f t="shared" ref="D23:Q23" ca="1" si="2">D20+D15+D22</f>
        <v>4100.6250000000009</v>
      </c>
      <c r="E23" s="735">
        <f t="shared" ca="1" si="2"/>
        <v>138695.76587270765</v>
      </c>
      <c r="F23" s="735">
        <f t="shared" si="2"/>
        <v>6945.408505654792</v>
      </c>
      <c r="G23" s="735">
        <f t="shared" ca="1" si="2"/>
        <v>84828.294410382892</v>
      </c>
      <c r="H23" s="735">
        <f t="shared" si="2"/>
        <v>332196.59693022683</v>
      </c>
      <c r="I23" s="735">
        <f t="shared" si="2"/>
        <v>58110.665237861373</v>
      </c>
      <c r="J23" s="735">
        <f t="shared" si="2"/>
        <v>0</v>
      </c>
      <c r="K23" s="735">
        <f t="shared" si="2"/>
        <v>233.3436321447393</v>
      </c>
      <c r="L23" s="735">
        <f t="shared" si="2"/>
        <v>0</v>
      </c>
      <c r="M23" s="735">
        <f t="shared" ca="1" si="2"/>
        <v>0</v>
      </c>
      <c r="N23" s="735">
        <f t="shared" si="2"/>
        <v>12205.715857708108</v>
      </c>
      <c r="O23" s="735">
        <f t="shared" ca="1" si="2"/>
        <v>34862.810602716345</v>
      </c>
      <c r="P23" s="735">
        <f t="shared" si="2"/>
        <v>411.15666666666669</v>
      </c>
      <c r="Q23" s="736">
        <f t="shared" si="2"/>
        <v>1258.3999999999999</v>
      </c>
      <c r="R23" s="737">
        <f ca="1">R20+R15+R22</f>
        <v>777220.13661204174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2994.2272345728329</v>
      </c>
      <c r="D36" s="718">
        <f ca="1">tertiair!C20</f>
        <v>322.01966911764708</v>
      </c>
      <c r="E36" s="718">
        <f ca="1">tertiair!D20</f>
        <v>3945.2661272640003</v>
      </c>
      <c r="F36" s="718">
        <f>tertiair!E20</f>
        <v>82.373707410867439</v>
      </c>
      <c r="G36" s="718">
        <f ca="1">tertiair!F20</f>
        <v>804.12733313207775</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8148.0140714974259</v>
      </c>
    </row>
    <row r="37" spans="1:18">
      <c r="A37" s="885" t="s">
        <v>225</v>
      </c>
      <c r="B37" s="892"/>
      <c r="C37" s="718">
        <f ca="1">huishoudens!B12</f>
        <v>3120.5133135820524</v>
      </c>
      <c r="D37" s="718">
        <f ca="1">huishoudens!C12</f>
        <v>0</v>
      </c>
      <c r="E37" s="718">
        <f>huishoudens!D12</f>
        <v>5874.4794310840007</v>
      </c>
      <c r="F37" s="718">
        <f>huishoudens!E12</f>
        <v>641.6714640721724</v>
      </c>
      <c r="G37" s="718">
        <f>huishoudens!F12</f>
        <v>16130.099623456445</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25766.763832194672</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5696.5549615972996</v>
      </c>
      <c r="D39" s="718">
        <f ca="1">industrie!C22</f>
        <v>0</v>
      </c>
      <c r="E39" s="718">
        <f>industrie!D22</f>
        <v>17812.301667248004</v>
      </c>
      <c r="F39" s="718">
        <f>industrie!E22</f>
        <v>626.03632419119549</v>
      </c>
      <c r="G39" s="718">
        <f>industrie!F22</f>
        <v>4424.3061688985799</v>
      </c>
      <c r="H39" s="718">
        <f>industrie!G22</f>
        <v>0</v>
      </c>
      <c r="I39" s="718">
        <f>industrie!H22</f>
        <v>0</v>
      </c>
      <c r="J39" s="718">
        <f>industrie!I22</f>
        <v>0</v>
      </c>
      <c r="K39" s="718">
        <f>industrie!J22</f>
        <v>15.207910968310593</v>
      </c>
      <c r="L39" s="718">
        <f>industrie!K22</f>
        <v>0</v>
      </c>
      <c r="M39" s="718">
        <f>industrie!L22</f>
        <v>0</v>
      </c>
      <c r="N39" s="718">
        <f>industrie!M22</f>
        <v>0</v>
      </c>
      <c r="O39" s="718">
        <f>industrie!N22</f>
        <v>0</v>
      </c>
      <c r="P39" s="718">
        <f>industrie!O22</f>
        <v>0</v>
      </c>
      <c r="Q39" s="828">
        <f>industrie!P22</f>
        <v>0</v>
      </c>
      <c r="R39" s="918">
        <f ca="1">SUM(C39:Q39)</f>
        <v>28574.407032903389</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11811.295509752184</v>
      </c>
      <c r="D41" s="763">
        <f t="shared" ref="D41:R41" ca="1" si="4">SUM(D35:D40)</f>
        <v>322.01966911764708</v>
      </c>
      <c r="E41" s="763">
        <f t="shared" ca="1" si="4"/>
        <v>27632.047225596005</v>
      </c>
      <c r="F41" s="763">
        <f t="shared" si="4"/>
        <v>1350.0814956742354</v>
      </c>
      <c r="G41" s="763">
        <f t="shared" ca="1" si="4"/>
        <v>21358.533125487102</v>
      </c>
      <c r="H41" s="763">
        <f t="shared" si="4"/>
        <v>0</v>
      </c>
      <c r="I41" s="763">
        <f t="shared" si="4"/>
        <v>0</v>
      </c>
      <c r="J41" s="763">
        <f t="shared" si="4"/>
        <v>0</v>
      </c>
      <c r="K41" s="763">
        <f t="shared" si="4"/>
        <v>15.207910968310593</v>
      </c>
      <c r="L41" s="763">
        <f t="shared" si="4"/>
        <v>0</v>
      </c>
      <c r="M41" s="763">
        <f t="shared" ca="1" si="4"/>
        <v>0</v>
      </c>
      <c r="N41" s="763">
        <f t="shared" si="4"/>
        <v>0</v>
      </c>
      <c r="O41" s="763">
        <f t="shared" ca="1" si="4"/>
        <v>0</v>
      </c>
      <c r="P41" s="763">
        <f t="shared" si="4"/>
        <v>0</v>
      </c>
      <c r="Q41" s="764">
        <f t="shared" si="4"/>
        <v>0</v>
      </c>
      <c r="R41" s="765">
        <f t="shared" ca="1" si="4"/>
        <v>62489.184936595484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554.09662417289348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554.09662417289348</v>
      </c>
    </row>
    <row r="45" spans="1:18" ht="15" thickBot="1">
      <c r="A45" s="888" t="s">
        <v>307</v>
      </c>
      <c r="B45" s="898"/>
      <c r="C45" s="727">
        <f ca="1">transport!B18</f>
        <v>11.085654380005165</v>
      </c>
      <c r="D45" s="727">
        <f>transport!C18</f>
        <v>0</v>
      </c>
      <c r="E45" s="727">
        <f>transport!D18</f>
        <v>42.182080098942514</v>
      </c>
      <c r="F45" s="727">
        <f>transport!E18</f>
        <v>218.78535828815069</v>
      </c>
      <c r="G45" s="727">
        <f>transport!F18</f>
        <v>0</v>
      </c>
      <c r="H45" s="727">
        <f>transport!G18</f>
        <v>88142.394756197682</v>
      </c>
      <c r="I45" s="727">
        <f>transport!H18</f>
        <v>14469.555644227481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102884.00349319226</v>
      </c>
    </row>
    <row r="46" spans="1:18" ht="15.75" thickBot="1">
      <c r="A46" s="886" t="s">
        <v>230</v>
      </c>
      <c r="B46" s="899"/>
      <c r="C46" s="763">
        <f t="shared" ref="C46:R46" ca="1" si="5">SUM(C43:C45)</f>
        <v>11.085654380005165</v>
      </c>
      <c r="D46" s="763">
        <f t="shared" ca="1" si="5"/>
        <v>0</v>
      </c>
      <c r="E46" s="763">
        <f t="shared" si="5"/>
        <v>42.182080098942514</v>
      </c>
      <c r="F46" s="763">
        <f t="shared" si="5"/>
        <v>218.78535828815069</v>
      </c>
      <c r="G46" s="763">
        <f t="shared" si="5"/>
        <v>0</v>
      </c>
      <c r="H46" s="763">
        <f t="shared" si="5"/>
        <v>88696.491380370571</v>
      </c>
      <c r="I46" s="763">
        <f t="shared" si="5"/>
        <v>14469.555644227481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103438.10011736515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153.20544852212393</v>
      </c>
      <c r="D48" s="718">
        <f ca="1">+landbouw!C12</f>
        <v>0</v>
      </c>
      <c r="E48" s="718">
        <f>+landbouw!D12</f>
        <v>342.31540059200006</v>
      </c>
      <c r="F48" s="718">
        <f>+landbouw!E12</f>
        <v>7.7408768212517716</v>
      </c>
      <c r="G48" s="718">
        <f>+landbouw!F12</f>
        <v>1290.6214820851314</v>
      </c>
      <c r="H48" s="718">
        <f>+landbouw!G12</f>
        <v>0</v>
      </c>
      <c r="I48" s="718">
        <f>+landbouw!H12</f>
        <v>0</v>
      </c>
      <c r="J48" s="718">
        <f>+landbouw!I12</f>
        <v>0</v>
      </c>
      <c r="K48" s="718">
        <f>+landbouw!J12</f>
        <v>67.395734810927109</v>
      </c>
      <c r="L48" s="718">
        <f>+landbouw!K12</f>
        <v>0</v>
      </c>
      <c r="M48" s="718">
        <f>+landbouw!L12</f>
        <v>0</v>
      </c>
      <c r="N48" s="718">
        <f>+landbouw!M12</f>
        <v>0</v>
      </c>
      <c r="O48" s="718">
        <f>+landbouw!N12</f>
        <v>0</v>
      </c>
      <c r="P48" s="718">
        <f>+landbouw!O12</f>
        <v>0</v>
      </c>
      <c r="Q48" s="719">
        <f>+landbouw!P12</f>
        <v>0</v>
      </c>
      <c r="R48" s="761">
        <f ca="1">SUM(C48:Q48)</f>
        <v>1861.2789428314343</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11975.586612654313</v>
      </c>
      <c r="D53" s="773">
        <f t="shared" ref="D53:Q53" ca="1" si="6">D41+D46+D48</f>
        <v>322.01966911764708</v>
      </c>
      <c r="E53" s="773">
        <f t="shared" ca="1" si="6"/>
        <v>28016.544706286946</v>
      </c>
      <c r="F53" s="773">
        <f t="shared" si="6"/>
        <v>1576.6077307836379</v>
      </c>
      <c r="G53" s="773">
        <f t="shared" ca="1" si="6"/>
        <v>22649.154607572233</v>
      </c>
      <c r="H53" s="773">
        <f t="shared" si="6"/>
        <v>88696.491380370571</v>
      </c>
      <c r="I53" s="773">
        <f t="shared" si="6"/>
        <v>14469.555644227481</v>
      </c>
      <c r="J53" s="773">
        <f t="shared" si="6"/>
        <v>0</v>
      </c>
      <c r="K53" s="773">
        <f t="shared" si="6"/>
        <v>82.603645779237695</v>
      </c>
      <c r="L53" s="773">
        <f t="shared" si="6"/>
        <v>0</v>
      </c>
      <c r="M53" s="773">
        <f t="shared" ca="1" si="6"/>
        <v>0</v>
      </c>
      <c r="N53" s="773">
        <f t="shared" si="6"/>
        <v>0</v>
      </c>
      <c r="O53" s="773">
        <f t="shared" ca="1" si="6"/>
        <v>0</v>
      </c>
      <c r="P53" s="773">
        <f>P41+P46+P48</f>
        <v>0</v>
      </c>
      <c r="Q53" s="774">
        <f t="shared" si="6"/>
        <v>0</v>
      </c>
      <c r="R53" s="775">
        <f ca="1">R41+R46+R48</f>
        <v>167788.56399679207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0.11585014765992077</v>
      </c>
      <c r="D55" s="836">
        <f t="shared" ca="1" si="7"/>
        <v>7.8529411764705875E-2</v>
      </c>
      <c r="E55" s="836">
        <f t="shared" ca="1" si="7"/>
        <v>0.20200000000000001</v>
      </c>
      <c r="F55" s="836">
        <f t="shared" si="7"/>
        <v>0.22700000000000001</v>
      </c>
      <c r="G55" s="836">
        <f t="shared" ca="1" si="7"/>
        <v>0.26700000000000002</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35980.299571628704</v>
      </c>
      <c r="C64" s="795">
        <f>'lokale energieproductie'!B4</f>
        <v>35980.299571628704</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10853.08189551115</v>
      </c>
      <c r="C66" s="795">
        <f>'lokale energieproductie'!B6</f>
        <v>10853.08189551115</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3645.0000000000005</v>
      </c>
      <c r="C67" s="794">
        <f>B67*IFERROR(SUM(J67:L67)/SUM(D67:M67),0)</f>
        <v>2733.75</v>
      </c>
      <c r="D67" s="826">
        <f>'lokale energieproductie'!C7</f>
        <v>0</v>
      </c>
      <c r="E67" s="827">
        <f>'lokale energieproductie'!D7</f>
        <v>0</v>
      </c>
      <c r="F67" s="827">
        <f>'lokale energieproductie'!E7</f>
        <v>1072.0588235294117</v>
      </c>
      <c r="G67" s="827">
        <f>'lokale energieproductie'!F7</f>
        <v>0</v>
      </c>
      <c r="H67" s="827">
        <f>'lokale energieproductie'!G7</f>
        <v>0</v>
      </c>
      <c r="I67" s="827">
        <f>'lokale energieproductie'!H7</f>
        <v>0</v>
      </c>
      <c r="J67" s="827">
        <f>'lokale energieproductie'!I7</f>
        <v>3216.1764705882347</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286.23970588235295</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50478.381467139858</v>
      </c>
      <c r="C69" s="803">
        <f>SUM(C64:C68)</f>
        <v>49567.131467139858</v>
      </c>
      <c r="D69" s="804">
        <f t="shared" ref="D69:M69" si="8">SUM(D67:D68)</f>
        <v>0</v>
      </c>
      <c r="E69" s="804">
        <f t="shared" si="8"/>
        <v>0</v>
      </c>
      <c r="F69" s="804">
        <f t="shared" si="8"/>
        <v>1072.0588235294117</v>
      </c>
      <c r="G69" s="804">
        <f t="shared" si="8"/>
        <v>0</v>
      </c>
      <c r="H69" s="804">
        <f t="shared" si="8"/>
        <v>0</v>
      </c>
      <c r="I69" s="804">
        <f t="shared" si="8"/>
        <v>0</v>
      </c>
      <c r="J69" s="804">
        <f t="shared" si="8"/>
        <v>3216.1764705882347</v>
      </c>
      <c r="K69" s="804">
        <f t="shared" si="8"/>
        <v>0</v>
      </c>
      <c r="L69" s="804">
        <f t="shared" si="8"/>
        <v>0</v>
      </c>
      <c r="M69" s="930">
        <f t="shared" si="8"/>
        <v>0</v>
      </c>
      <c r="N69" s="805">
        <v>0</v>
      </c>
      <c r="O69" s="805">
        <f>SUM(O67:O68)</f>
        <v>286.23970588235295</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4100.6250000000009</v>
      </c>
      <c r="C78" s="817">
        <f>B78*IFERROR(SUM(I78:L78)/SUM(D78:M78),0)</f>
        <v>3075.4687500000009</v>
      </c>
      <c r="D78" s="832">
        <f>'lokale energieproductie'!C16</f>
        <v>0</v>
      </c>
      <c r="E78" s="832">
        <f>'lokale energieproductie'!D16</f>
        <v>0</v>
      </c>
      <c r="F78" s="832">
        <f>'lokale energieproductie'!E16</f>
        <v>1206.0661764705883</v>
      </c>
      <c r="G78" s="832">
        <f>'lokale energieproductie'!F16</f>
        <v>0</v>
      </c>
      <c r="H78" s="832">
        <f>'lokale energieproductie'!G16</f>
        <v>0</v>
      </c>
      <c r="I78" s="832">
        <f>'lokale energieproductie'!H16</f>
        <v>0</v>
      </c>
      <c r="J78" s="832">
        <f>'lokale energieproductie'!I16</f>
        <v>3618.1985294117649</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322.01966911764708</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4100.6250000000009</v>
      </c>
      <c r="C81" s="803">
        <f>SUM(C78:C80)</f>
        <v>3075.4687500000009</v>
      </c>
      <c r="D81" s="803">
        <f t="shared" ref="D81:P81" si="9">SUM(D78:D80)</f>
        <v>0</v>
      </c>
      <c r="E81" s="803">
        <f t="shared" si="9"/>
        <v>0</v>
      </c>
      <c r="F81" s="803">
        <f t="shared" si="9"/>
        <v>1206.0661764705883</v>
      </c>
      <c r="G81" s="803">
        <f t="shared" si="9"/>
        <v>0</v>
      </c>
      <c r="H81" s="803">
        <f t="shared" si="9"/>
        <v>0</v>
      </c>
      <c r="I81" s="803">
        <f t="shared" si="9"/>
        <v>0</v>
      </c>
      <c r="J81" s="803">
        <f t="shared" si="9"/>
        <v>3618.1985294117649</v>
      </c>
      <c r="K81" s="803">
        <f t="shared" si="9"/>
        <v>0</v>
      </c>
      <c r="L81" s="803">
        <f t="shared" si="9"/>
        <v>0</v>
      </c>
      <c r="M81" s="803">
        <f t="shared" si="9"/>
        <v>0</v>
      </c>
      <c r="N81" s="803">
        <v>0</v>
      </c>
      <c r="O81" s="803">
        <f>SUM(O78:O80)</f>
        <v>322.01966911764708</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26935.773295191208</v>
      </c>
      <c r="C4" s="478">
        <f>huishoudens!C8</f>
        <v>0</v>
      </c>
      <c r="D4" s="478">
        <f>huishoudens!D8</f>
        <v>29081.581342000001</v>
      </c>
      <c r="E4" s="478">
        <f>huishoudens!E8</f>
        <v>2826.7465377628741</v>
      </c>
      <c r="F4" s="478">
        <f>huishoudens!F8</f>
        <v>60412.358140286306</v>
      </c>
      <c r="G4" s="478">
        <f>huishoudens!G8</f>
        <v>0</v>
      </c>
      <c r="H4" s="478">
        <f>huishoudens!H8</f>
        <v>0</v>
      </c>
      <c r="I4" s="478">
        <f>huishoudens!I8</f>
        <v>0</v>
      </c>
      <c r="J4" s="478">
        <f>huishoudens!J8</f>
        <v>0</v>
      </c>
      <c r="K4" s="478">
        <f>huishoudens!K8</f>
        <v>0</v>
      </c>
      <c r="L4" s="478">
        <f>huishoudens!L8</f>
        <v>0</v>
      </c>
      <c r="M4" s="478">
        <f>huishoudens!M8</f>
        <v>0</v>
      </c>
      <c r="N4" s="478">
        <f>huishoudens!N8</f>
        <v>17561.570732236301</v>
      </c>
      <c r="O4" s="478">
        <f>huishoudens!O8</f>
        <v>409.59333333333336</v>
      </c>
      <c r="P4" s="479">
        <f>huishoudens!P8</f>
        <v>1239.3333333333333</v>
      </c>
      <c r="Q4" s="480">
        <f>SUM(B4:P4)</f>
        <v>138466.95671414337</v>
      </c>
    </row>
    <row r="5" spans="1:17">
      <c r="A5" s="477" t="s">
        <v>156</v>
      </c>
      <c r="B5" s="478">
        <f ca="1">tertiair!B16</f>
        <v>24764.452999999998</v>
      </c>
      <c r="C5" s="478">
        <f ca="1">tertiair!C16</f>
        <v>4100.6250000000009</v>
      </c>
      <c r="D5" s="478">
        <f ca="1">tertiair!D16</f>
        <v>19531.020432000001</v>
      </c>
      <c r="E5" s="478">
        <f>tertiair!E16</f>
        <v>362.87976832981252</v>
      </c>
      <c r="F5" s="478">
        <f ca="1">tertiair!F16</f>
        <v>3011.7128581725756</v>
      </c>
      <c r="G5" s="478">
        <f>tertiair!G16</f>
        <v>0</v>
      </c>
      <c r="H5" s="478">
        <f>tertiair!H16</f>
        <v>0</v>
      </c>
      <c r="I5" s="478">
        <f>tertiair!I16</f>
        <v>0</v>
      </c>
      <c r="J5" s="478">
        <f>tertiair!J16</f>
        <v>0</v>
      </c>
      <c r="K5" s="478">
        <f>tertiair!K16</f>
        <v>0</v>
      </c>
      <c r="L5" s="478">
        <f ca="1">tertiair!L16</f>
        <v>0</v>
      </c>
      <c r="M5" s="478">
        <f>tertiair!M16</f>
        <v>0</v>
      </c>
      <c r="N5" s="478">
        <f ca="1">tertiair!N16</f>
        <v>1175.9491814935509</v>
      </c>
      <c r="O5" s="478">
        <f>tertiair!O16</f>
        <v>1.5633333333333335</v>
      </c>
      <c r="P5" s="479">
        <f>tertiair!P16</f>
        <v>19.066666666666666</v>
      </c>
      <c r="Q5" s="477">
        <f t="shared" ref="Q5:Q13" ca="1" si="0">SUM(B5:P5)</f>
        <v>52967.270239995938</v>
      </c>
    </row>
    <row r="6" spans="1:17">
      <c r="A6" s="477" t="s">
        <v>194</v>
      </c>
      <c r="B6" s="478">
        <f>'openbare verlichting'!B8</f>
        <v>1081.239</v>
      </c>
      <c r="C6" s="478"/>
      <c r="D6" s="478"/>
      <c r="E6" s="478"/>
      <c r="F6" s="478"/>
      <c r="G6" s="478"/>
      <c r="H6" s="478"/>
      <c r="I6" s="478"/>
      <c r="J6" s="478"/>
      <c r="K6" s="478"/>
      <c r="L6" s="478"/>
      <c r="M6" s="478"/>
      <c r="N6" s="478"/>
      <c r="O6" s="478"/>
      <c r="P6" s="479"/>
      <c r="Q6" s="477">
        <f t="shared" si="0"/>
        <v>1081.239</v>
      </c>
    </row>
    <row r="7" spans="1:17">
      <c r="A7" s="477" t="s">
        <v>112</v>
      </c>
      <c r="B7" s="478">
        <f>landbouw!B8</f>
        <v>1322.4449999999999</v>
      </c>
      <c r="C7" s="478">
        <f>landbouw!C8</f>
        <v>0</v>
      </c>
      <c r="D7" s="478">
        <f>landbouw!D8</f>
        <v>1694.6306960000002</v>
      </c>
      <c r="E7" s="478">
        <f>landbouw!E8</f>
        <v>34.10077894824569</v>
      </c>
      <c r="F7" s="478">
        <f>landbouw!F8</f>
        <v>4833.7883224162224</v>
      </c>
      <c r="G7" s="478">
        <f>landbouw!G8</f>
        <v>0</v>
      </c>
      <c r="H7" s="478">
        <f>landbouw!H8</f>
        <v>0</v>
      </c>
      <c r="I7" s="478">
        <f>landbouw!I8</f>
        <v>0</v>
      </c>
      <c r="J7" s="478">
        <f>landbouw!J8</f>
        <v>190.38343166928564</v>
      </c>
      <c r="K7" s="478">
        <f>landbouw!K8</f>
        <v>0</v>
      </c>
      <c r="L7" s="478">
        <f>landbouw!L8</f>
        <v>0</v>
      </c>
      <c r="M7" s="478">
        <f>landbouw!M8</f>
        <v>0</v>
      </c>
      <c r="N7" s="478">
        <f>landbouw!N8</f>
        <v>0</v>
      </c>
      <c r="O7" s="478">
        <f>landbouw!O8</f>
        <v>0</v>
      </c>
      <c r="P7" s="479">
        <f>landbouw!P8</f>
        <v>0</v>
      </c>
      <c r="Q7" s="477">
        <f t="shared" si="0"/>
        <v>8075.3482290337533</v>
      </c>
    </row>
    <row r="8" spans="1:17">
      <c r="A8" s="477" t="s">
        <v>638</v>
      </c>
      <c r="B8" s="478">
        <f>industrie!B18</f>
        <v>49171.753999999994</v>
      </c>
      <c r="C8" s="478">
        <f>industrie!C18</f>
        <v>0</v>
      </c>
      <c r="D8" s="478">
        <f>industrie!D18</f>
        <v>88179.711224000013</v>
      </c>
      <c r="E8" s="478">
        <f>industrie!E18</f>
        <v>2757.8692695647378</v>
      </c>
      <c r="F8" s="478">
        <f>industrie!F18</f>
        <v>16570.435089507788</v>
      </c>
      <c r="G8" s="478">
        <f>industrie!G18</f>
        <v>0</v>
      </c>
      <c r="H8" s="478">
        <f>industrie!H18</f>
        <v>0</v>
      </c>
      <c r="I8" s="478">
        <f>industrie!I18</f>
        <v>0</v>
      </c>
      <c r="J8" s="478">
        <f>industrie!J18</f>
        <v>42.960200475453654</v>
      </c>
      <c r="K8" s="478">
        <f>industrie!K18</f>
        <v>0</v>
      </c>
      <c r="L8" s="478">
        <f>industrie!L18</f>
        <v>0</v>
      </c>
      <c r="M8" s="478">
        <f>industrie!M18</f>
        <v>0</v>
      </c>
      <c r="N8" s="478">
        <f>industrie!N18</f>
        <v>16125.290688986493</v>
      </c>
      <c r="O8" s="478">
        <f>industrie!O18</f>
        <v>0</v>
      </c>
      <c r="P8" s="479">
        <f>industrie!P18</f>
        <v>0</v>
      </c>
      <c r="Q8" s="477">
        <f t="shared" si="0"/>
        <v>172848.02047253447</v>
      </c>
    </row>
    <row r="9" spans="1:17" s="483" customFormat="1">
      <c r="A9" s="481" t="s">
        <v>564</v>
      </c>
      <c r="B9" s="482">
        <f>transport!B14</f>
        <v>95.689600781064257</v>
      </c>
      <c r="C9" s="482">
        <f>transport!C14</f>
        <v>0</v>
      </c>
      <c r="D9" s="482">
        <f>transport!D14</f>
        <v>208.8221787076362</v>
      </c>
      <c r="E9" s="482">
        <f>transport!E14</f>
        <v>963.81215104912201</v>
      </c>
      <c r="F9" s="482">
        <f>transport!F14</f>
        <v>0</v>
      </c>
      <c r="G9" s="482">
        <f>transport!G14</f>
        <v>330121.32867489767</v>
      </c>
      <c r="H9" s="482">
        <f>transport!H14</f>
        <v>58110.665237861373</v>
      </c>
      <c r="I9" s="482">
        <f>transport!I14</f>
        <v>0</v>
      </c>
      <c r="J9" s="482">
        <f>transport!J14</f>
        <v>0</v>
      </c>
      <c r="K9" s="482">
        <f>transport!K14</f>
        <v>0</v>
      </c>
      <c r="L9" s="482">
        <f>transport!L14</f>
        <v>0</v>
      </c>
      <c r="M9" s="482">
        <f>transport!M14</f>
        <v>12141.345679180766</v>
      </c>
      <c r="N9" s="482">
        <f>transport!N14</f>
        <v>0</v>
      </c>
      <c r="O9" s="482">
        <f>transport!O14</f>
        <v>0</v>
      </c>
      <c r="P9" s="482">
        <f>transport!P14</f>
        <v>0</v>
      </c>
      <c r="Q9" s="481">
        <f>SUM(B9:P9)</f>
        <v>401641.66352247761</v>
      </c>
    </row>
    <row r="10" spans="1:17">
      <c r="A10" s="477" t="s">
        <v>554</v>
      </c>
      <c r="B10" s="478">
        <f>transport!B54</f>
        <v>0</v>
      </c>
      <c r="C10" s="478">
        <f>transport!C54</f>
        <v>0</v>
      </c>
      <c r="D10" s="478">
        <f>transport!D54</f>
        <v>0</v>
      </c>
      <c r="E10" s="478">
        <f>transport!E54</f>
        <v>0</v>
      </c>
      <c r="F10" s="478">
        <f>transport!F54</f>
        <v>0</v>
      </c>
      <c r="G10" s="478">
        <f>transport!G54</f>
        <v>2075.2682553291888</v>
      </c>
      <c r="H10" s="478">
        <f>transport!H54</f>
        <v>0</v>
      </c>
      <c r="I10" s="478">
        <f>transport!I54</f>
        <v>0</v>
      </c>
      <c r="J10" s="478">
        <f>transport!J54</f>
        <v>0</v>
      </c>
      <c r="K10" s="478">
        <f>transport!K54</f>
        <v>0</v>
      </c>
      <c r="L10" s="478">
        <f>transport!L54</f>
        <v>0</v>
      </c>
      <c r="M10" s="478">
        <f>transport!M54</f>
        <v>64.37017852734256</v>
      </c>
      <c r="N10" s="478">
        <f>transport!N54</f>
        <v>0</v>
      </c>
      <c r="O10" s="478">
        <f>transport!O54</f>
        <v>0</v>
      </c>
      <c r="P10" s="479">
        <f>transport!P54</f>
        <v>0</v>
      </c>
      <c r="Q10" s="477">
        <f t="shared" si="0"/>
        <v>2139.6384338565313</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103371.35389597226</v>
      </c>
      <c r="C14" s="488">
        <f t="shared" ref="C14:Q14" ca="1" si="1">SUM(C4:C13)</f>
        <v>4100.6250000000009</v>
      </c>
      <c r="D14" s="488">
        <f t="shared" ca="1" si="1"/>
        <v>138695.76587270765</v>
      </c>
      <c r="E14" s="488">
        <f t="shared" si="1"/>
        <v>6945.408505654792</v>
      </c>
      <c r="F14" s="488">
        <f t="shared" ca="1" si="1"/>
        <v>84828.294410382892</v>
      </c>
      <c r="G14" s="488">
        <f t="shared" si="1"/>
        <v>332196.59693022683</v>
      </c>
      <c r="H14" s="488">
        <f t="shared" si="1"/>
        <v>58110.665237861373</v>
      </c>
      <c r="I14" s="488">
        <f t="shared" si="1"/>
        <v>0</v>
      </c>
      <c r="J14" s="488">
        <f t="shared" si="1"/>
        <v>233.3436321447393</v>
      </c>
      <c r="K14" s="488">
        <f t="shared" si="1"/>
        <v>0</v>
      </c>
      <c r="L14" s="488">
        <f t="shared" ca="1" si="1"/>
        <v>0</v>
      </c>
      <c r="M14" s="488">
        <f t="shared" si="1"/>
        <v>12205.715857708108</v>
      </c>
      <c r="N14" s="488">
        <f t="shared" ca="1" si="1"/>
        <v>34862.810602716345</v>
      </c>
      <c r="O14" s="488">
        <f t="shared" si="1"/>
        <v>411.15666666666669</v>
      </c>
      <c r="P14" s="489">
        <f t="shared" si="1"/>
        <v>1258.3999999999999</v>
      </c>
      <c r="Q14" s="489">
        <f t="shared" ca="1" si="1"/>
        <v>777220.13661204174</v>
      </c>
    </row>
    <row r="16" spans="1:17">
      <c r="A16" s="491" t="s">
        <v>559</v>
      </c>
      <c r="B16" s="841">
        <f ca="1">huishoudens!B10</f>
        <v>0.11585014765992079</v>
      </c>
      <c r="C16" s="841">
        <f ca="1">huishoudens!C10</f>
        <v>7.8529411764705875E-2</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3120.5133135820524</v>
      </c>
      <c r="C21" s="478">
        <f t="shared" ref="C21:C30" ca="1" si="3">C4*$C$16</f>
        <v>0</v>
      </c>
      <c r="D21" s="478">
        <f t="shared" ref="D21:D30" si="4">D4*$D$16</f>
        <v>5874.4794310840007</v>
      </c>
      <c r="E21" s="478">
        <f t="shared" ref="E21:E30" si="5">E4*$E$16</f>
        <v>641.6714640721724</v>
      </c>
      <c r="F21" s="478">
        <f t="shared" ref="F21:F30" si="6">F4*$F$16</f>
        <v>16130.099623456445</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25766.763832194672</v>
      </c>
    </row>
    <row r="22" spans="1:17">
      <c r="A22" s="477" t="s">
        <v>156</v>
      </c>
      <c r="B22" s="478">
        <f t="shared" ca="1" si="2"/>
        <v>2868.965536767168</v>
      </c>
      <c r="C22" s="478">
        <f t="shared" ca="1" si="3"/>
        <v>322.01966911764708</v>
      </c>
      <c r="D22" s="478">
        <f t="shared" ca="1" si="4"/>
        <v>3945.2661272640003</v>
      </c>
      <c r="E22" s="478">
        <f t="shared" si="5"/>
        <v>82.373707410867439</v>
      </c>
      <c r="F22" s="478">
        <f t="shared" ca="1" si="6"/>
        <v>804.12733313207775</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8022.752373691761</v>
      </c>
    </row>
    <row r="23" spans="1:17">
      <c r="A23" s="477" t="s">
        <v>194</v>
      </c>
      <c r="B23" s="478">
        <f t="shared" ca="1" si="2"/>
        <v>125.26169780566509</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125.26169780566509</v>
      </c>
    </row>
    <row r="24" spans="1:17">
      <c r="A24" s="477" t="s">
        <v>112</v>
      </c>
      <c r="B24" s="478">
        <f t="shared" ca="1" si="2"/>
        <v>153.20544852212393</v>
      </c>
      <c r="C24" s="478">
        <f t="shared" ca="1" si="3"/>
        <v>0</v>
      </c>
      <c r="D24" s="478">
        <f t="shared" si="4"/>
        <v>342.31540059200006</v>
      </c>
      <c r="E24" s="478">
        <f t="shared" si="5"/>
        <v>7.7408768212517716</v>
      </c>
      <c r="F24" s="478">
        <f t="shared" si="6"/>
        <v>1290.6214820851314</v>
      </c>
      <c r="G24" s="478">
        <f t="shared" si="7"/>
        <v>0</v>
      </c>
      <c r="H24" s="478">
        <f t="shared" si="8"/>
        <v>0</v>
      </c>
      <c r="I24" s="478">
        <f t="shared" si="9"/>
        <v>0</v>
      </c>
      <c r="J24" s="478">
        <f t="shared" si="10"/>
        <v>67.395734810927109</v>
      </c>
      <c r="K24" s="478">
        <f t="shared" si="11"/>
        <v>0</v>
      </c>
      <c r="L24" s="478">
        <f t="shared" si="12"/>
        <v>0</v>
      </c>
      <c r="M24" s="478">
        <f t="shared" si="13"/>
        <v>0</v>
      </c>
      <c r="N24" s="478">
        <f t="shared" si="14"/>
        <v>0</v>
      </c>
      <c r="O24" s="478">
        <f t="shared" si="15"/>
        <v>0</v>
      </c>
      <c r="P24" s="479">
        <f t="shared" si="16"/>
        <v>0</v>
      </c>
      <c r="Q24" s="477">
        <f t="shared" ca="1" si="17"/>
        <v>1861.2789428314343</v>
      </c>
    </row>
    <row r="25" spans="1:17">
      <c r="A25" s="477" t="s">
        <v>638</v>
      </c>
      <c r="B25" s="478">
        <f t="shared" ca="1" si="2"/>
        <v>5696.5549615972996</v>
      </c>
      <c r="C25" s="478">
        <f t="shared" ca="1" si="3"/>
        <v>0</v>
      </c>
      <c r="D25" s="478">
        <f t="shared" si="4"/>
        <v>17812.301667248004</v>
      </c>
      <c r="E25" s="478">
        <f t="shared" si="5"/>
        <v>626.03632419119549</v>
      </c>
      <c r="F25" s="478">
        <f t="shared" si="6"/>
        <v>4424.3061688985799</v>
      </c>
      <c r="G25" s="478">
        <f t="shared" si="7"/>
        <v>0</v>
      </c>
      <c r="H25" s="478">
        <f t="shared" si="8"/>
        <v>0</v>
      </c>
      <c r="I25" s="478">
        <f t="shared" si="9"/>
        <v>0</v>
      </c>
      <c r="J25" s="478">
        <f t="shared" si="10"/>
        <v>15.207910968310593</v>
      </c>
      <c r="K25" s="478">
        <f t="shared" si="11"/>
        <v>0</v>
      </c>
      <c r="L25" s="478">
        <f t="shared" si="12"/>
        <v>0</v>
      </c>
      <c r="M25" s="478">
        <f t="shared" si="13"/>
        <v>0</v>
      </c>
      <c r="N25" s="478">
        <f t="shared" si="14"/>
        <v>0</v>
      </c>
      <c r="O25" s="478">
        <f t="shared" si="15"/>
        <v>0</v>
      </c>
      <c r="P25" s="479">
        <f t="shared" si="16"/>
        <v>0</v>
      </c>
      <c r="Q25" s="477">
        <f t="shared" ca="1" si="17"/>
        <v>28574.407032903389</v>
      </c>
    </row>
    <row r="26" spans="1:17" s="483" customFormat="1">
      <c r="A26" s="481" t="s">
        <v>564</v>
      </c>
      <c r="B26" s="835">
        <f t="shared" ca="1" si="2"/>
        <v>11.085654380005165</v>
      </c>
      <c r="C26" s="482">
        <f t="shared" ca="1" si="3"/>
        <v>0</v>
      </c>
      <c r="D26" s="482">
        <f t="shared" si="4"/>
        <v>42.182080098942514</v>
      </c>
      <c r="E26" s="482">
        <f t="shared" si="5"/>
        <v>218.78535828815069</v>
      </c>
      <c r="F26" s="482">
        <f t="shared" si="6"/>
        <v>0</v>
      </c>
      <c r="G26" s="482">
        <f t="shared" si="7"/>
        <v>88142.394756197682</v>
      </c>
      <c r="H26" s="482">
        <f t="shared" si="8"/>
        <v>14469.555644227481</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102884.00349319226</v>
      </c>
    </row>
    <row r="27" spans="1:17">
      <c r="A27" s="477" t="s">
        <v>554</v>
      </c>
      <c r="B27" s="478">
        <f t="shared" ca="1" si="2"/>
        <v>0</v>
      </c>
      <c r="C27" s="478">
        <f t="shared" ca="1" si="3"/>
        <v>0</v>
      </c>
      <c r="D27" s="478">
        <f t="shared" si="4"/>
        <v>0</v>
      </c>
      <c r="E27" s="478">
        <f t="shared" si="5"/>
        <v>0</v>
      </c>
      <c r="F27" s="478">
        <f t="shared" si="6"/>
        <v>0</v>
      </c>
      <c r="G27" s="478">
        <f t="shared" si="7"/>
        <v>554.09662417289348</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554.09662417289348</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11975.586612654313</v>
      </c>
      <c r="C31" s="488">
        <f t="shared" ca="1" si="18"/>
        <v>322.01966911764708</v>
      </c>
      <c r="D31" s="488">
        <f t="shared" ca="1" si="18"/>
        <v>28016.544706286946</v>
      </c>
      <c r="E31" s="488">
        <f t="shared" si="18"/>
        <v>1576.6077307836379</v>
      </c>
      <c r="F31" s="488">
        <f t="shared" ca="1" si="18"/>
        <v>22649.154607572233</v>
      </c>
      <c r="G31" s="488">
        <f t="shared" si="18"/>
        <v>88696.491380370571</v>
      </c>
      <c r="H31" s="488">
        <f t="shared" si="18"/>
        <v>14469.555644227481</v>
      </c>
      <c r="I31" s="488">
        <f t="shared" si="18"/>
        <v>0</v>
      </c>
      <c r="J31" s="488">
        <f t="shared" si="18"/>
        <v>82.603645779237695</v>
      </c>
      <c r="K31" s="488">
        <f t="shared" si="18"/>
        <v>0</v>
      </c>
      <c r="L31" s="488">
        <f t="shared" ca="1" si="18"/>
        <v>0</v>
      </c>
      <c r="M31" s="488">
        <f t="shared" si="18"/>
        <v>0</v>
      </c>
      <c r="N31" s="488">
        <f t="shared" ca="1" si="18"/>
        <v>0</v>
      </c>
      <c r="O31" s="488">
        <f t="shared" si="18"/>
        <v>0</v>
      </c>
      <c r="P31" s="489">
        <f t="shared" si="18"/>
        <v>0</v>
      </c>
      <c r="Q31" s="489">
        <f t="shared" ca="1" si="18"/>
        <v>167788.5639967921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0.11585014765992079</v>
      </c>
      <c r="C17" s="528">
        <f ca="1">'EF ele_warmte'!B22</f>
        <v>7.8529411764705875E-2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0.11585014765992079</v>
      </c>
      <c r="C17" s="528">
        <f ca="1">'EF ele_warmte'!B22</f>
        <v>7.8529411764705875E-2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0.11585014765992079</v>
      </c>
      <c r="C29" s="529">
        <f ca="1">'EF ele_warmte'!B22</f>
        <v>7.8529411764705875E-2</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2018-06-27T09:44:31Z</dcterms:modified>
</cp:coreProperties>
</file>