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L16"/>
  <c r="L18" s="1"/>
  <c r="L8" i="48" s="1"/>
  <c r="C13" i="15"/>
  <c r="C16" s="1"/>
  <c r="D10" i="14" s="1"/>
  <c r="L6" i="17"/>
  <c r="L5" s="1"/>
  <c r="B8" i="9"/>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7" i="48"/>
  <c r="J24" s="1"/>
  <c r="I5"/>
  <c r="I22" s="1"/>
  <c r="I31" s="1"/>
  <c r="L22" i="16"/>
  <c r="M39" i="14" s="1"/>
  <c r="M13"/>
  <c r="J12" i="17"/>
  <c r="K48" i="14" s="1"/>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13" i="14" l="1"/>
  <c r="P15" s="1"/>
  <c r="P23" s="1"/>
  <c r="P55" s="1"/>
  <c r="P41"/>
  <c r="P53" s="1"/>
  <c r="N7" i="48"/>
  <c r="N24" s="1"/>
  <c r="G14" i="22"/>
  <c r="H14"/>
  <c r="I14" i="48"/>
  <c r="D8"/>
  <c r="D25" s="1"/>
  <c r="E16" i="15"/>
  <c r="E20" s="1"/>
  <c r="F36" i="14" s="1"/>
  <c r="J16" i="15"/>
  <c r="K10" i="14" s="1"/>
  <c r="O22"/>
  <c r="L7" i="48"/>
  <c r="L24" s="1"/>
  <c r="M22" i="14"/>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E5" i="48"/>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C15"/>
  <c r="C23" s="1"/>
  <c r="B3" i="6" s="1"/>
  <c r="E53" i="14"/>
  <c r="M36"/>
  <c r="M41" s="1"/>
  <c r="L14" i="48"/>
  <c r="M23" i="14"/>
  <c r="Q5" i="48"/>
  <c r="F22" i="16"/>
  <c r="G39" i="14" s="1"/>
  <c r="G41" s="1"/>
  <c r="F8" i="48"/>
  <c r="Q4"/>
  <c r="N22"/>
  <c r="R11" i="14"/>
  <c r="J21" i="48"/>
  <c r="C29" i="20" l="1"/>
  <c r="C17" i="19"/>
  <c r="C19" s="1"/>
  <c r="D35" i="14" s="1"/>
  <c r="C20" i="16"/>
  <c r="C22" s="1"/>
  <c r="D39" i="14" s="1"/>
  <c r="C10" i="13"/>
  <c r="C16" i="48" s="1"/>
  <c r="C30" s="1"/>
  <c r="C16" i="22"/>
  <c r="C10" i="17"/>
  <c r="C12" s="1"/>
  <c r="D48" i="14" s="1"/>
  <c r="C56" i="22"/>
  <c r="C58" s="1"/>
  <c r="D44" i="14" s="1"/>
  <c r="D46" s="1"/>
  <c r="C17" i="49"/>
  <c r="C18" i="15"/>
  <c r="C20" s="1"/>
  <c r="D36" i="14" s="1"/>
  <c r="O13"/>
  <c r="O15" s="1"/>
  <c r="F15"/>
  <c r="F23" s="1"/>
  <c r="F55" s="1"/>
  <c r="N22" i="16"/>
  <c r="O39" i="14" s="1"/>
  <c r="O41" s="1"/>
  <c r="O53" s="1"/>
  <c r="K41"/>
  <c r="K53" s="1"/>
  <c r="N25" i="48"/>
  <c r="N31" s="1"/>
  <c r="N14"/>
  <c r="E25"/>
  <c r="E31" s="1"/>
  <c r="E14"/>
  <c r="K13" i="14"/>
  <c r="K15" s="1"/>
  <c r="K23" s="1"/>
  <c r="K55" s="1"/>
  <c r="H55"/>
  <c r="E55"/>
  <c r="C78"/>
  <c r="C81" s="1"/>
  <c r="J14" i="48"/>
  <c r="J31"/>
  <c r="Q8"/>
  <c r="Q14" s="1"/>
  <c r="R19" i="14"/>
  <c r="R20" s="1"/>
  <c r="H14" i="48"/>
  <c r="G31"/>
  <c r="H26"/>
  <c r="H31" s="1"/>
  <c r="G53" i="14"/>
  <c r="G55" s="1"/>
  <c r="O69" s="1"/>
  <c r="B9" i="6" s="1"/>
  <c r="B12" s="1"/>
  <c r="M53" i="14"/>
  <c r="M55" s="1"/>
  <c r="C12" i="13"/>
  <c r="D37" i="14" s="1"/>
  <c r="D41" s="1"/>
  <c r="C23" i="48"/>
  <c r="C24"/>
  <c r="C27"/>
  <c r="C21"/>
  <c r="C26"/>
  <c r="F25"/>
  <c r="F31" s="1"/>
  <c r="F14"/>
  <c r="C28" l="1"/>
  <c r="C31" s="1"/>
  <c r="C25"/>
  <c r="R13" i="14"/>
  <c r="R15" s="1"/>
  <c r="R23" s="1"/>
  <c r="C22" i="48"/>
  <c r="C29"/>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<sst xmlns="http://schemas.openxmlformats.org/spreadsheetml/2006/main" count="1933" uniqueCount="824">
  <si>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</si>
  <si>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</si>
  <si>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</si>
  <si>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</si>
  <si>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</si>
  <si>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</si>
  <si>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</si>
  <si>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</si>
  <si>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</si>
  <si>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</si>
  <si>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</si>
  <si>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</si>
  <si>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</si>
  <si>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</si>
  <si>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</si>
  <si>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</si>
  <si>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</si>
  <si>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</si>
  <si>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</si>
  <si>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</si>
  <si>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</si>
  <si>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</si>
  <si>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</si>
  <si>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</si>
  <si>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</si>
  <si>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</si>
  <si>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</si>
  <si>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</si>
  <si>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</si>
  <si>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</si>
  <si>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</si>
  <si>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</si>
  <si>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</si>
  <si>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</si>
  <si>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</si>
  <si>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</si>
  <si>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</si>
  <si>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</si>
  <si>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</si>
  <si>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</si>
  <si>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</si>
  <si>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</si>
  <si>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</si>
  <si>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</si>
  <si>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</si>
  <si>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</si>
  <si>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</si>
  <si>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</si>
  <si>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</si>
  <si>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</si>
  <si>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</si>
  <si>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</si>
  <si>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</si>
  <si>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</si>
  <si>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</si>
  <si>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</si>
  <si>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</si>
  <si>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</si>
  <si>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</si>
  <si>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</si>
  <si>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</si>
  <si>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</si>
  <si>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</si>
  <si>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</si>
  <si>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</si>
  <si>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</si>
  <si>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</si>
  <si>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</si>
  <si>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</si>
  <si>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</si>
  <si>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</si>
  <si>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</si>
  <si>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</si>
  <si>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</si>
  <si>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</si>
  <si>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</si>
  <si>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</si>
  <si>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</si>
  <si>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</si>
  <si>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</si>
  <si>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</si>
  <si>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</si>
  <si>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</si>
  <si>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</si>
  <si>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</si>
  <si>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</si>
  <si>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</si>
  <si>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</si>
  <si>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</si>
  <si>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</si>
  <si>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</si>
  <si>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</si>
  <si>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</si>
  <si>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</si>
  <si>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</si>
  <si>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</si>
  <si>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</si>
  <si>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</si>
  <si>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</si>
  <si>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</si>
  <si>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</si>
  <si>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</si>
  <si>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</si>
  <si>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</si>
  <si>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</si>
  <si>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</si>
  <si>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</si>
  <si>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</si>
  <si>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</si>
  <si>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</si>
  <si>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</si>
  <si>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</si>
  <si>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</si>
  <si>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</si>
  <si>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</si>
  <si>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</si>
  <si>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</si>
  <si>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</si>
  <si>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</si>
  <si>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</si>
  <si>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</si>
  <si>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</si>
  <si>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</si>
  <si>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</si>
  <si>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</si>
  <si>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</si>
  <si>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</si>
  <si>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</si>
  <si>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</si>
  <si>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</si>
  <si>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</si>
  <si>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</si>
  <si>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</si>
  <si>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</si>
  <si>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</si>
  <si>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</si>
  <si>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</si>
  <si>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</si>
  <si>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</si>
  <si>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</si>
  <si>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</si>
  <si>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</si>
  <si>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</si>
  <si>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</si>
  <si>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</si>
  <si>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</si>
  <si>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</si>
  <si>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</si>
  <si>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</si>
  <si>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</si>
  <si>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</si>
  <si>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</si>
  <si>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</si>
  <si>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</si>
  <si>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</si>
  <si>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</si>
  <si>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</si>
  <si>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</si>
  <si>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</si>
  <si>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</si>
  <si>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</si>
  <si>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</si>
  <si>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</si>
  <si>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</si>
  <si>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</si>
  <si>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</si>
  <si>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</si>
  <si>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</si>
  <si>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</si>
  <si>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</si>
  <si>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</si>
  <si>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</si>
  <si>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</si>
  <si>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</si>
  <si>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</si>
  <si>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</si>
  <si>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</si>
  <si>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</si>
  <si>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</si>
  <si>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</si>
  <si>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</si>
  <si>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</si>
  <si>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</si>
  <si>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</si>
  <si>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</si>
  <si>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</si>
  <si>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</si>
  <si>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</si>
  <si>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</si>
  <si>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</si>
  <si>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</si>
  <si>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</si>
  <si>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</si>
  <si>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</si>
  <si>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</si>
  <si>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</si>
  <si>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</si>
  <si>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</si>
  <si>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</si>
  <si>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</si>
  <si>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</si>
  <si>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</si>
  <si>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</si>
  <si>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</si>
  <si>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</si>
  <si>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</si>
  <si>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</si>
  <si>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</si>
  <si>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</si>
  <si>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</si>
  <si>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</si>
  <si>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</si>
  <si>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</si>
  <si>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</si>
  <si>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</si>
  <si>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</si>
  <si>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</si>
  <si>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</si>
  <si>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</si>
  <si>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</si>
  <si>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</si>
  <si>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</si>
  <si>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</si>
  <si>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</si>
  <si>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</si>
  <si>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</si>
  <si>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</si>
  <si>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</si>
  <si>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</si>
  <si>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</si>
  <si>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</si>
  <si>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</si>
  <si>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</si>
  <si>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</si>
  <si>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</si>
  <si>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</si>
  <si>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</si>
  <si>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</si>
  <si>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</si>
  <si>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</si>
  <si>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</si>
  <si>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</si>
  <si>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</si>
  <si>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</si>
  <si>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</si>
  <si>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</si>
  <si>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</si>
  <si>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</si>
  <si>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</si>
  <si>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</si>
  <si>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</si>
  <si>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</si>
  <si>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</si>
  <si>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</si>
  <si>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</si>
  <si>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</si>
  <si>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</si>
  <si>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</si>
  <si>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</si>
  <si>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</si>
  <si>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</si>
  <si>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</si>
  <si>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</si>
  <si>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</si>
  <si>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</si>
  <si>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</si>
  <si>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</si>
  <si>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</si>
  <si>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</si>
  <si>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</si>
  <si>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</si>
  <si>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</si>
  <si>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</si>
  <si>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</si>
  <si>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</si>
  <si>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</si>
  <si>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</si>
  <si>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</si>
  <si>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</si>
  <si>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</si>
  <si>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</si>
  <si>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</si>
  <si>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</si>
  <si>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</si>
  <si>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</si>
  <si>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</si>
  <si>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</si>
  <si>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</si>
  <si>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</si>
  <si>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</si>
  <si>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</si>
  <si>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</si>
  <si>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</si>
  <si>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</si>
  <si>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</si>
  <si>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</si>
  <si>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</si>
  <si>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</si>
  <si>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</si>
  <si>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</si>
  <si>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</si>
  <si>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</si>
  <si>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</si>
  <si>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</si>
  <si>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</si>
  <si>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</si>
  <si>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</si>
  <si>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</si>
  <si>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</si>
  <si>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</si>
  <si>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</si>
  <si>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</si>
  <si>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</si>
  <si>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</si>
  <si>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</si>
  <si>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</si>
  <si>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</si>
  <si>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</si>
  <si>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</si>
  <si>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</si>
  <si>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</si>
  <si>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</si>
  <si>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</si>
  <si>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</si>
  <si>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</si>
  <si>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</si>
  <si>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</si>
  <si>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</si>
  <si>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</si>
  <si>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</si>
  <si>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</si>
  <si>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</si>
  <si>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</si>
  <si>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</si>
  <si>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</si>
  <si>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</si>
  <si>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</si>
  <si>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</si>
  <si>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</si>
  <si>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</si>
  <si>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</si>
  <si>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</si>
  <si>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</si>
  <si>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</si>
  <si>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</si>
  <si>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</si>
  <si>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</si>
  <si>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</si>
  <si>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</si>
  <si>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</si>
  <si>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</si>
  <si>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</si>
  <si>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</si>
  <si>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</si>
  <si>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</si>
  <si>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</si>
  <si>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</si>
  <si>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</si>
  <si>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</si>
  <si>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</si>
  <si>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</si>
  <si>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</si>
  <si>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</si>
  <si>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</si>
  <si>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</si>
  <si>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</si>
  <si>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</si>
  <si>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</si>
  <si>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</si>
  <si>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</si>
  <si>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</si>
  <si>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</si>
  <si>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</si>
  <si>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</si>
  <si>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</si>
  <si>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</si>
  <si>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</si>
  <si>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</si>
  <si>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</si>
  <si>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</si>
  <si>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</si>
  <si>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</si>
  <si>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</si>
  <si>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</si>
  <si>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</si>
  <si>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</si>
  <si>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</si>
  <si>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</si>
  <si>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</si>
  <si>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</si>
  <si>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</si>
  <si>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</si>
  <si>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</si>
  <si>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</si>
  <si>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</si>
  <si>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</si>
  <si>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</si>
  <si>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</si>
  <si>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</si>
  <si>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</si>
  <si>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</si>
  <si>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</si>
  <si>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</si>
  <si>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</si>
  <si>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</si>
  <si>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</si>
  <si>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</si>
  <si>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</si>
  <si>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</si>
  <si>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</si>
  <si>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</si>
  <si>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</si>
  <si>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</si>
  <si>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</si>
  <si>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</si>
  <si>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</si>
  <si>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</si>
  <si>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</si>
  <si>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</si>
  <si>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</si>
  <si>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</si>
  <si>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</si>
  <si>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</si>
  <si>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</si>
  <si>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</si>
  <si>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</si>
  <si>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</si>
  <si>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</si>
  <si>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</si>
  <si>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</si>
  <si>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</si>
  <si>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</si>
  <si>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</si>
  <si>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</si>
  <si>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</si>
  <si>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</si>
  <si>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</si>
  <si>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</si>
  <si>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</si>
  <si>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</si>
  <si>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</si>
  <si>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</si>
  <si>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</si>
  <si>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</si>
  <si>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</si>
  <si>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</si>
  <si>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</si>
  <si>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</si>
  <si>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</si>
  <si>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</si>
  <si>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</si>
  <si>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</si>
  <si>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</si>
  <si>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</si>
  <si>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</si>
  <si>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</si>
  <si>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</si>
  <si>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</si>
  <si>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</si>
  <si>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</si>
  <si>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</si>
  <si>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</si>
  <si>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</si>
  <si>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</si>
  <si>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</si>
  <si>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</si>
  <si>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</si>
  <si>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</si>
  <si>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</si>
  <si>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</si>
  <si>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</si>
  <si>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</si>
  <si>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</si>
  <si>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</si>
  <si>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</si>
  <si>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</si>
  <si>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</si>
  <si>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</si>
  <si>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</si>
  <si>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</si>
  <si>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</si>
  <si>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</si>
  <si>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</si>
  <si>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</si>
  <si>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</si>
  <si>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</si>
  <si>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</si>
  <si>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</si>
  <si>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</si>
  <si>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</si>
  <si>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</si>
  <si>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</si>
  <si>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</si>
  <si>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</si>
  <si>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</si>
  <si>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</si>
  <si>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</si>
  <si>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</si>
  <si>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</si>
  <si>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</si>
  <si>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</si>
  <si>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</si>
  <si>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</si>
  <si>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</si>
  <si>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</si>
  <si>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</si>
  <si>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</si>
  <si>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</si>
  <si>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</si>
  <si>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</si>
  <si>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</si>
  <si>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</si>
  <si>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</si>
  <si>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</si>
  <si>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</si>
  <si>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</si>
  <si>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</si>
  <si>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</si>
  <si>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</si>
  <si>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</si>
  <si>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</si>
  <si>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</si>
  <si>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</si>
  <si>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</si>
  <si>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</si>
  <si>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</si>
  <si>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</si>
  <si>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</si>
  <si>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</si>
  <si>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</si>
  <si>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</si>
  <si>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</si>
  <si>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</si>
  <si>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</si>
  <si>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</si>
  <si>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</si>
  <si>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</si>
  <si>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</si>
  <si>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</si>
  <si>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</si>
  <si>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</si>
  <si>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</si>
  <si>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</si>
  <si>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</si>
  <si>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</si>
  <si>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</si>
  <si>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</si>
  <si>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</si>
  <si>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</si>
  <si>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</si>
  <si>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</si>
  <si>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</si>
  <si>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</si>
  <si>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</si>
  <si>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</si>
  <si>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</si>
  <si>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</si>
  <si>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</si>
  <si>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</si>
  <si>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</si>
  <si>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</si>
  <si>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</si>
  <si>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</si>
  <si>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</si>
  <si>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</si>
  <si>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</si>
  <si>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</si>
  <si>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</si>
  <si>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</si>
  <si>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</si>
  <si>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</si>
  <si>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</si>
  <si>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</si>
  <si>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</si>
  <si>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</si>
  <si>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</si>
  <si>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</si>
  <si>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</si>
  <si>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</si>
  <si>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</si>
  <si>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</si>
  <si>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</si>
  <si>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</si>
  <si>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</si>
  <si>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</si>
  <si>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</si>
  <si>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</si>
  <si>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</si>
  <si>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</si>
  <si>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</si>
  <si>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</si>
  <si>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</si>
  <si>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</si>
  <si>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</si>
  <si>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</si>
  <si>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</si>
  <si>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</si>
  <si>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</si>
  <si>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</si>
  <si>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</si>
  <si>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</si>
  <si>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</si>
  <si>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</si>
  <si>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</si>
  <si>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</si>
  <si>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</si>
  <si>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</si>
  <si>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</si>
  <si>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</si>
  <si>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</si>
  <si>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</si>
  <si>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</si>
  <si>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</si>
  <si>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</si>
  <si>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</si>
  <si>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</si>
  <si>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</si>
  <si>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</si>
  <si>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</si>
  <si>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</si>
  <si>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</si>
  <si>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</si>
  <si>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</si>
  <si>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</si>
  <si>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</si>
  <si>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</si>
  <si>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</si>
  <si>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</si>
  <si>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</si>
  <si>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</si>
  <si>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</si>
  <si>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</si>
  <si>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</si>
  <si>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</si>
  <si>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</si>
  <si>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</si>
  <si>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</si>
  <si>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</si>
  <si>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</si>
  <si>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</si>
  <si>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</si>
  <si>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</si>
  <si>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</si>
  <si>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</si>
  <si>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</si>
  <si>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</si>
  <si>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</si>
  <si>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</si>
  <si>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</si>
  <si>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</si>
  <si>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</si>
  <si>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</si>
  <si>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</si>
  <si>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</si>
  <si>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</si>
  <si>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</si>
  <si>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</si>
  <si>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</si>
  <si>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</si>
  <si>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</si>
  <si>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</si>
  <si>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</si>
  <si>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</si>
  <si>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</si>
  <si>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</si>
  <si>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</si>
  <si>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</si>
  <si>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</si>
  <si>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</si>
  <si>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</si>
  <si>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</si>
  <si>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</si>
  <si>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</si>
  <si>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</si>
  <si>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</si>
  <si>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</si>
  <si>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</si>
  <si>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</si>
  <si>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</si>
  <si>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</si>
  <si>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</si>
  <si>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</si>
  <si>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</si>
  <si>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</si>
  <si>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</si>
  <si>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</si>
  <si>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</si>
  <si>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</si>
  <si>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</si>
  <si>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</si>
  <si>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</si>
  <si>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</si>
  <si>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</si>
  <si>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</si>
  <si>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</si>
  <si>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</si>
  <si>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</si>
  <si>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</si>
  <si>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</si>
  <si>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</si>
  <si>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</si>
  <si>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</si>
  <si>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</si>
  <si>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</si>
  <si>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</si>
  <si>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</si>
  <si>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</si>
  <si>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</si>
  <si>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</si>
  <si>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</si>
  <si>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</si>
  <si>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</si>
  <si>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</si>
  <si>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</si>
  <si>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</si>
  <si>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</si>
  <si>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</si>
  <si>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</si>
  <si>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</si>
  <si>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</si>
  <si>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</si>
  <si>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</si>
  <si>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</si>
  <si>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</si>
  <si>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</si>
  <si>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</si>
  <si>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</si>
  <si>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</si>
  <si>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</si>
  <si>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</si>
  <si>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</si>
  <si>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</si>
  <si>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</si>
  <si>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</si>
  <si>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</si>
  <si>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</si>
  <si>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</si>
  <si>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</si>
  <si>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</si>
  <si>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</si>
  <si>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</si>
  <si>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</si>
  <si>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</si>
  <si>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</si>
  <si>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</si>
  <si>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</si>
  <si>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</si>
  <si>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</si>
  <si>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</si>
  <si>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</si>
  <si>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</si>
  <si>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</si>
  <si>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</si>
  <si>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</si>
  <si>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</si>
  <si>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</si>
  <si>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</si>
  <si>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</si>
  <si>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</si>
  <si>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</si>
  <si>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</si>
  <si>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</si>
  <si>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</si>
  <si>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</si>
  <si>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</si>
  <si>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</si>
  <si>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</si>
  <si>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</si>
  <si>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</si>
  <si>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</si>
  <si>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</si>
  <si>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</si>
  <si>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</si>
  <si>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</si>
  <si>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</si>
  <si>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</si>
  <si>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</si>
  <si>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</si>
  <si>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</si>
  <si>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</si>
  <si>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</si>
  <si>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</si>
  <si>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</si>
  <si>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</si>
  <si>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</si>
  <si>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</si>
  <si>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</si>
  <si>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</si>
  <si>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</si>
  <si>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</si>
  <si>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</si>
  <si>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</si>
  <si>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</si>
  <si>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</si>
  <si>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</si>
  <si>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</si>
  <si>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</si>
  <si>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</si>
  <si>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</si>
  <si>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</si>
  <si>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</si>
  <si>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</si>
  <si>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</si>
  <si>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</si>
  <si>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</si>
  <si>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</si>
  <si>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</si>
  <si>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</si>
  <si>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</si>
  <si>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</si>
  <si>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46025</t>
  </si>
  <si>
    <t>TEMSE</t>
  </si>
  <si>
    <t>Paarden&amp;pony's 200 - 600 kg</t>
  </si>
  <si>
    <t>Paarden&amp;pony's &lt; 200 kg</t>
  </si>
  <si>
    <t>referentietaak LNE (2017); Jaarverslag De Lijn (2015)</t>
  </si>
  <si>
    <t>op basis van VEA (maart 2018) en Inventaris Hernieuwbare Energiebronnen (juni 2018)</t>
  </si>
  <si>
    <t>VEA (januari 2017)</t>
  </si>
  <si>
    <t>VEA (juni 2018)</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</si>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</sst>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195651.40656205363</c:v>
                </c:pt>
                <c:pt idx="1">
                  <c:v>97852.663055354991</c:v>
                </c:pt>
                <c:pt idx="2">
                  <c:v>1616.146</c:v>
                </c:pt>
                <c:pt idx="3">
                  <c:v>12039.092386115028</c:v>
                </c:pt>
                <c:pt idx="4">
                  <c:v>90417.983952348732</c:v>
                </c:pt>
                <c:pt idx="5">
                  <c:v>336909.12613555224</c:v>
                </c:pt>
                <c:pt idx="6">
                  <c:v>2419.6265631503388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195651.40656205363</c:v>
                </c:pt>
                <c:pt idx="1">
                  <c:v>97852.663055354991</c:v>
                </c:pt>
                <c:pt idx="2">
                  <c:v>1616.146</c:v>
                </c:pt>
                <c:pt idx="3">
                  <c:v>12039.092386115028</c:v>
                </c:pt>
                <c:pt idx="4">
                  <c:v>90417.983952348732</c:v>
                </c:pt>
                <c:pt idx="5">
                  <c:v>336909.12613555224</c:v>
                </c:pt>
                <c:pt idx="6">
                  <c:v>2419.6265631503388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34992.697093771225</c:v>
                </c:pt>
                <c:pt idx="1">
                  <c:v>19340.295914075403</c:v>
                </c:pt>
                <c:pt idx="2">
                  <c:v>312.68437361973685</c:v>
                </c:pt>
                <c:pt idx="3">
                  <c:v>2757.1775510695338</c:v>
                </c:pt>
                <c:pt idx="4">
                  <c:v>16952.617312359351</c:v>
                </c:pt>
                <c:pt idx="5">
                  <c:v>86352.311378495695</c:v>
                </c:pt>
                <c:pt idx="6">
                  <c:v>626.60442492806771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03264"/>
      </c:barChart>
      <c:catAx>
        <c:axId val="183286784"/>
        <c:scaling>
          <c:orientation val="minMax"/>
        </c:scaling>
        <c:axPos val="b"/>
        <c:numFmt formatCode="General" sourceLinked="0"/>
        <c:tickLblPos val="nextTo"/>
        <c:crossAx val="183403264"/>
        <c:crosses val="autoZero"/>
        <c:auto val="1"/>
        <c:lblAlgn val="ctr"/>
        <c:lblOffset val="100"/>
      </c:catAx>
      <c:valAx>
        <c:axId val="183403264"/>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34992.697093771225</c:v>
                </c:pt>
                <c:pt idx="1">
                  <c:v>19340.295914075403</c:v>
                </c:pt>
                <c:pt idx="2">
                  <c:v>312.68437361973685</c:v>
                </c:pt>
                <c:pt idx="3">
                  <c:v>2757.1775510695338</c:v>
                </c:pt>
                <c:pt idx="4">
                  <c:v>16952.617312359351</c:v>
                </c:pt>
                <c:pt idx="5">
                  <c:v>86352.311378495695</c:v>
                </c:pt>
                <c:pt idx="6">
                  <c:v>626.60442492806771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46025</v>
      </c>
      <c r="B6" s="415"/>
      <c r="C6" s="416"/>
    </row>
    <row r="7" spans="1:7" s="413" customFormat="1" ht="15.75" customHeight="1">
      <c r="A7" s="417" t="str">
        <f>txtMunicipality</f>
        <v>TEMSE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46025</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12062</v>
      </c>
      <c r="C9" s="342">
        <v>12726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1841.51</v>
      </c>
    </row>
    <row r="15" spans="1:6">
      <c r="A15" s="348" t="s">
        <v>184</v>
      </c>
      <c r="B15" s="334">
        <v>554</v>
      </c>
    </row>
    <row r="16" spans="1:6">
      <c r="A16" s="348" t="s">
        <v>6</v>
      </c>
      <c r="B16" s="334">
        <v>1141</v>
      </c>
    </row>
    <row r="17" spans="1:6">
      <c r="A17" s="348" t="s">
        <v>7</v>
      </c>
      <c r="B17" s="334">
        <v>682</v>
      </c>
    </row>
    <row r="18" spans="1:6">
      <c r="A18" s="348" t="s">
        <v>8</v>
      </c>
      <c r="B18" s="334">
        <v>1058</v>
      </c>
    </row>
    <row r="19" spans="1:6">
      <c r="A19" s="348" t="s">
        <v>9</v>
      </c>
      <c r="B19" s="334">
        <v>953</v>
      </c>
    </row>
    <row r="20" spans="1:6">
      <c r="A20" s="348" t="s">
        <v>10</v>
      </c>
      <c r="B20" s="334">
        <v>659</v>
      </c>
    </row>
    <row r="21" spans="1:6">
      <c r="A21" s="348" t="s">
        <v>11</v>
      </c>
      <c r="B21" s="334">
        <v>4797</v>
      </c>
    </row>
    <row r="22" spans="1:6">
      <c r="A22" s="348" t="s">
        <v>12</v>
      </c>
      <c r="B22" s="334">
        <v>9123</v>
      </c>
    </row>
    <row r="23" spans="1:6">
      <c r="A23" s="348" t="s">
        <v>13</v>
      </c>
      <c r="B23" s="334">
        <v>142</v>
      </c>
    </row>
    <row r="24" spans="1:6">
      <c r="A24" s="348" t="s">
        <v>14</v>
      </c>
      <c r="B24" s="334">
        <v>12</v>
      </c>
    </row>
    <row r="25" spans="1:6">
      <c r="A25" s="348" t="s">
        <v>15</v>
      </c>
      <c r="B25" s="334">
        <v>1314</v>
      </c>
    </row>
    <row r="26" spans="1:6">
      <c r="A26" s="348" t="s">
        <v>16</v>
      </c>
      <c r="B26" s="334">
        <v>5</v>
      </c>
    </row>
    <row r="27" spans="1:6">
      <c r="A27" s="348" t="s">
        <v>17</v>
      </c>
      <c r="B27" s="334">
        <v>0</v>
      </c>
    </row>
    <row r="28" spans="1:6" s="356" customFormat="1">
      <c r="A28" s="355" t="s">
        <v>18</v>
      </c>
      <c r="B28" s="355">
        <v>50923</v>
      </c>
    </row>
    <row r="29" spans="1:6">
      <c r="A29" s="355" t="s">
        <v>812</v>
      </c>
      <c r="B29" s="355">
        <v>154</v>
      </c>
      <c r="C29" s="356"/>
      <c r="D29" s="356"/>
      <c r="E29" s="356"/>
      <c r="F29" s="356"/>
    </row>
    <row r="30" spans="1:6">
      <c r="A30" s="355" t="s">
        <v>813</v>
      </c>
      <c r="B30" s="341">
        <v>26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16030</v>
      </c>
    </row>
    <row r="37" spans="1:6">
      <c r="A37" s="348" t="s">
        <v>25</v>
      </c>
      <c r="B37" s="348" t="s">
        <v>28</v>
      </c>
      <c r="C37" s="334">
        <v>0</v>
      </c>
      <c r="D37" s="334">
        <v>0</v>
      </c>
      <c r="E37" s="334">
        <v>0</v>
      </c>
      <c r="F37" s="334">
        <v>0</v>
      </c>
    </row>
    <row r="38" spans="1:6">
      <c r="A38" s="348" t="s">
        <v>25</v>
      </c>
      <c r="B38" s="348" t="s">
        <v>29</v>
      </c>
      <c r="C38" s="334">
        <v>1</v>
      </c>
      <c r="D38" s="334">
        <v>167779.79869</v>
      </c>
      <c r="E38" s="334">
        <v>1</v>
      </c>
      <c r="F38" s="334">
        <v>5851.25</v>
      </c>
    </row>
    <row r="39" spans="1:6">
      <c r="A39" s="348" t="s">
        <v>30</v>
      </c>
      <c r="B39" s="348" t="s">
        <v>31</v>
      </c>
      <c r="C39" s="334">
        <v>9038</v>
      </c>
      <c r="D39" s="334">
        <v>127274070.38</v>
      </c>
      <c r="E39" s="334">
        <v>11725</v>
      </c>
      <c r="F39" s="334">
        <v>44444987.734999999</v>
      </c>
    </row>
    <row r="40" spans="1:6">
      <c r="A40" s="348" t="s">
        <v>30</v>
      </c>
      <c r="B40" s="348" t="s">
        <v>29</v>
      </c>
      <c r="C40" s="334">
        <v>0</v>
      </c>
      <c r="D40" s="334">
        <v>0</v>
      </c>
      <c r="E40" s="334">
        <v>0</v>
      </c>
      <c r="F40" s="334">
        <v>0</v>
      </c>
    </row>
    <row r="41" spans="1:6">
      <c r="A41" s="348" t="s">
        <v>32</v>
      </c>
      <c r="B41" s="348" t="s">
        <v>33</v>
      </c>
      <c r="C41" s="334">
        <v>142</v>
      </c>
      <c r="D41" s="334">
        <v>5028925.3181999996</v>
      </c>
      <c r="E41" s="334">
        <v>261</v>
      </c>
      <c r="F41" s="334">
        <v>4214640.9820999997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1072085.1514999999</v>
      </c>
      <c r="E44" s="334">
        <v>28</v>
      </c>
      <c r="F44" s="334">
        <v>1666897.6207999999</v>
      </c>
    </row>
    <row r="45" spans="1:6">
      <c r="A45" s="348" t="s">
        <v>32</v>
      </c>
      <c r="B45" s="348" t="s">
        <v>37</v>
      </c>
      <c r="C45" s="334">
        <v>0</v>
      </c>
      <c r="D45" s="334">
        <v>0</v>
      </c>
      <c r="E45" s="334">
        <v>5</v>
      </c>
      <c r="F45" s="334">
        <v>249063.60915999999</v>
      </c>
    </row>
    <row r="46" spans="1:6">
      <c r="A46" s="348" t="s">
        <v>32</v>
      </c>
      <c r="B46" s="348" t="s">
        <v>38</v>
      </c>
      <c r="C46" s="334">
        <v>0</v>
      </c>
      <c r="D46" s="334">
        <v>0</v>
      </c>
      <c r="E46" s="334">
        <v>0</v>
      </c>
      <c r="F46" s="334">
        <v>0</v>
      </c>
    </row>
    <row r="47" spans="1:6">
      <c r="A47" s="348" t="s">
        <v>32</v>
      </c>
      <c r="B47" s="348" t="s">
        <v>39</v>
      </c>
      <c r="C47" s="334">
        <v>4</v>
      </c>
      <c r="D47" s="334">
        <v>78306.326400999998</v>
      </c>
      <c r="E47" s="334">
        <v>5</v>
      </c>
      <c r="F47" s="334">
        <v>45887.872543999998</v>
      </c>
    </row>
    <row r="48" spans="1:6">
      <c r="A48" s="348" t="s">
        <v>32</v>
      </c>
      <c r="B48" s="348" t="s">
        <v>29</v>
      </c>
      <c r="C48" s="334">
        <v>51</v>
      </c>
      <c r="D48" s="334">
        <v>18366777.635000002</v>
      </c>
      <c r="E48" s="334">
        <v>57</v>
      </c>
      <c r="F48" s="334">
        <v>31105832.427999999</v>
      </c>
    </row>
    <row r="49" spans="1:6">
      <c r="A49" s="348" t="s">
        <v>32</v>
      </c>
      <c r="B49" s="348" t="s">
        <v>40</v>
      </c>
      <c r="C49" s="334">
        <v>3</v>
      </c>
      <c r="D49" s="334">
        <v>125678.24661</v>
      </c>
      <c r="E49" s="334">
        <v>8</v>
      </c>
      <c r="F49" s="334">
        <v>943079.34563</v>
      </c>
    </row>
    <row r="50" spans="1:6">
      <c r="A50" s="348" t="s">
        <v>32</v>
      </c>
      <c r="B50" s="348" t="s">
        <v>41</v>
      </c>
      <c r="C50" s="334">
        <v>24</v>
      </c>
      <c r="D50" s="334">
        <v>1932752.8444000001</v>
      </c>
      <c r="E50" s="334">
        <v>31</v>
      </c>
      <c r="F50" s="334">
        <v>3767973.1726000002</v>
      </c>
    </row>
    <row r="51" spans="1:6">
      <c r="A51" s="348" t="s">
        <v>42</v>
      </c>
      <c r="B51" s="348" t="s">
        <v>43</v>
      </c>
      <c r="C51" s="334">
        <v>6</v>
      </c>
      <c r="D51" s="334">
        <v>79994.307811999999</v>
      </c>
      <c r="E51" s="334">
        <v>80</v>
      </c>
      <c r="F51" s="334">
        <v>1249103.8377</v>
      </c>
    </row>
    <row r="52" spans="1:6">
      <c r="A52" s="348" t="s">
        <v>42</v>
      </c>
      <c r="B52" s="348" t="s">
        <v>29</v>
      </c>
      <c r="C52" s="334">
        <v>9</v>
      </c>
      <c r="D52" s="334">
        <v>145385.53714</v>
      </c>
      <c r="E52" s="334">
        <v>10</v>
      </c>
      <c r="F52" s="334">
        <v>93864.266034</v>
      </c>
    </row>
    <row r="53" spans="1:6">
      <c r="A53" s="348" t="s">
        <v>44</v>
      </c>
      <c r="B53" s="348" t="s">
        <v>45</v>
      </c>
      <c r="C53" s="334">
        <v>202</v>
      </c>
      <c r="D53" s="334">
        <v>5868849.6117000002</v>
      </c>
      <c r="E53" s="334">
        <v>428</v>
      </c>
      <c r="F53" s="334">
        <v>1373424.1987000001</v>
      </c>
    </row>
    <row r="54" spans="1:6">
      <c r="A54" s="348" t="s">
        <v>46</v>
      </c>
      <c r="B54" s="348" t="s">
        <v>47</v>
      </c>
      <c r="C54" s="334">
        <v>0</v>
      </c>
      <c r="D54" s="334">
        <v>0</v>
      </c>
      <c r="E54" s="334">
        <v>1</v>
      </c>
      <c r="F54" s="334">
        <v>1616146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100</v>
      </c>
      <c r="D57" s="334">
        <v>6577851.6749</v>
      </c>
      <c r="E57" s="334">
        <v>183</v>
      </c>
      <c r="F57" s="334">
        <v>3851084.4522000002</v>
      </c>
    </row>
    <row r="58" spans="1:6">
      <c r="A58" s="348" t="s">
        <v>49</v>
      </c>
      <c r="B58" s="348" t="s">
        <v>51</v>
      </c>
      <c r="C58" s="334">
        <v>46</v>
      </c>
      <c r="D58" s="334">
        <v>2708712.3612000002</v>
      </c>
      <c r="E58" s="334">
        <v>62</v>
      </c>
      <c r="F58" s="334">
        <v>1299583.5612000001</v>
      </c>
    </row>
    <row r="59" spans="1:6">
      <c r="A59" s="348" t="s">
        <v>49</v>
      </c>
      <c r="B59" s="348" t="s">
        <v>52</v>
      </c>
      <c r="C59" s="334">
        <v>236</v>
      </c>
      <c r="D59" s="334">
        <v>14042081.719000001</v>
      </c>
      <c r="E59" s="334">
        <v>413</v>
      </c>
      <c r="F59" s="334">
        <v>14226604.25</v>
      </c>
    </row>
    <row r="60" spans="1:6">
      <c r="A60" s="348" t="s">
        <v>49</v>
      </c>
      <c r="B60" s="348" t="s">
        <v>53</v>
      </c>
      <c r="C60" s="334">
        <v>96</v>
      </c>
      <c r="D60" s="334">
        <v>4889114.5575000001</v>
      </c>
      <c r="E60" s="334">
        <v>101</v>
      </c>
      <c r="F60" s="334">
        <v>2207741.1115000001</v>
      </c>
    </row>
    <row r="61" spans="1:6">
      <c r="A61" s="348" t="s">
        <v>49</v>
      </c>
      <c r="B61" s="348" t="s">
        <v>54</v>
      </c>
      <c r="C61" s="334">
        <v>252</v>
      </c>
      <c r="D61" s="334">
        <v>10558797.221999999</v>
      </c>
      <c r="E61" s="334">
        <v>556</v>
      </c>
      <c r="F61" s="334">
        <v>12052963.915999999</v>
      </c>
    </row>
    <row r="62" spans="1:6">
      <c r="A62" s="348" t="s">
        <v>49</v>
      </c>
      <c r="B62" s="348" t="s">
        <v>55</v>
      </c>
      <c r="C62" s="334">
        <v>16</v>
      </c>
      <c r="D62" s="334">
        <v>1560951.3551</v>
      </c>
      <c r="E62" s="334">
        <v>18</v>
      </c>
      <c r="F62" s="334">
        <v>504869.48285999999</v>
      </c>
    </row>
    <row r="63" spans="1:6">
      <c r="A63" s="348" t="s">
        <v>49</v>
      </c>
      <c r="B63" s="348" t="s">
        <v>29</v>
      </c>
      <c r="C63" s="334">
        <v>100</v>
      </c>
      <c r="D63" s="334">
        <v>8444223.9430999998</v>
      </c>
      <c r="E63" s="334">
        <v>89</v>
      </c>
      <c r="F63" s="334">
        <v>5670551.0581</v>
      </c>
    </row>
    <row r="64" spans="1:6">
      <c r="A64" s="348" t="s">
        <v>56</v>
      </c>
      <c r="B64" s="348" t="s">
        <v>57</v>
      </c>
      <c r="C64" s="334">
        <v>0</v>
      </c>
      <c r="D64" s="334">
        <v>0</v>
      </c>
      <c r="E64" s="334">
        <v>0</v>
      </c>
      <c r="F64" s="334">
        <v>0</v>
      </c>
    </row>
    <row r="65" spans="1:6">
      <c r="A65" s="348" t="s">
        <v>56</v>
      </c>
      <c r="B65" s="348" t="s">
        <v>29</v>
      </c>
      <c r="C65" s="334">
        <v>6</v>
      </c>
      <c r="D65" s="334">
        <v>209545.29764999999</v>
      </c>
      <c r="E65" s="334">
        <v>4</v>
      </c>
      <c r="F65" s="334">
        <v>69201.346741000001</v>
      </c>
    </row>
    <row r="66" spans="1:6">
      <c r="A66" s="348" t="s">
        <v>56</v>
      </c>
      <c r="B66" s="348" t="s">
        <v>58</v>
      </c>
      <c r="C66" s="334">
        <v>0</v>
      </c>
      <c r="D66" s="334">
        <v>0</v>
      </c>
      <c r="E66" s="334">
        <v>17</v>
      </c>
      <c r="F66" s="334">
        <v>696209.42697000003</v>
      </c>
    </row>
    <row r="67" spans="1:6">
      <c r="A67" s="355" t="s">
        <v>56</v>
      </c>
      <c r="B67" s="355" t="s">
        <v>59</v>
      </c>
      <c r="C67" s="334">
        <v>0</v>
      </c>
      <c r="D67" s="334">
        <v>0</v>
      </c>
      <c r="E67" s="334">
        <v>0</v>
      </c>
      <c r="F67" s="334">
        <v>0</v>
      </c>
    </row>
    <row r="68" spans="1:6">
      <c r="A68" s="341" t="s">
        <v>56</v>
      </c>
      <c r="B68" s="341" t="s">
        <v>60</v>
      </c>
      <c r="C68" s="334">
        <v>11</v>
      </c>
      <c r="D68" s="334">
        <v>771350.52217000001</v>
      </c>
      <c r="E68" s="334">
        <v>19</v>
      </c>
      <c r="F68" s="334">
        <v>814924.19415999996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101162520</v>
      </c>
      <c r="E73" s="476">
        <v>102920573.12230289</v>
      </c>
    </row>
    <row r="74" spans="1:6">
      <c r="A74" s="348" t="s">
        <v>64</v>
      </c>
      <c r="B74" s="348" t="s">
        <v>667</v>
      </c>
      <c r="C74" s="1212" t="s">
        <v>669</v>
      </c>
      <c r="D74" s="476">
        <v>10774180.64605975</v>
      </c>
      <c r="E74" s="476">
        <v>10834531.755290778</v>
      </c>
    </row>
    <row r="75" spans="1:6">
      <c r="A75" s="348" t="s">
        <v>65</v>
      </c>
      <c r="B75" s="348" t="s">
        <v>666</v>
      </c>
      <c r="C75" s="1212" t="s">
        <v>670</v>
      </c>
      <c r="D75" s="476">
        <v>76517979</v>
      </c>
      <c r="E75" s="476">
        <v>78300363.130996123</v>
      </c>
    </row>
    <row r="76" spans="1:6">
      <c r="A76" s="348" t="s">
        <v>65</v>
      </c>
      <c r="B76" s="348" t="s">
        <v>667</v>
      </c>
      <c r="C76" s="1212" t="s">
        <v>671</v>
      </c>
      <c r="D76" s="476">
        <v>3601762.6460597487</v>
      </c>
      <c r="E76" s="476">
        <v>3622140.2443073476</v>
      </c>
    </row>
    <row r="77" spans="1:6">
      <c r="A77" s="348" t="s">
        <v>66</v>
      </c>
      <c r="B77" s="348" t="s">
        <v>666</v>
      </c>
      <c r="C77" s="1212" t="s">
        <v>672</v>
      </c>
      <c r="D77" s="476">
        <v>124527394</v>
      </c>
      <c r="E77" s="476">
        <v>131080361.03167737</v>
      </c>
    </row>
    <row r="78" spans="1:6">
      <c r="A78" s="341" t="s">
        <v>66</v>
      </c>
      <c r="B78" s="341" t="s">
        <v>667</v>
      </c>
      <c r="C78" s="341" t="s">
        <v>673</v>
      </c>
      <c r="D78" s="1213">
        <v>31434910</v>
      </c>
      <c r="E78" s="1213">
        <v>32600514.178485975</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649878.70788050245</v>
      </c>
      <c r="C83" s="476">
        <v>649878.70788050245</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5115.7016278463088</v>
      </c>
    </row>
    <row r="92" spans="1:6">
      <c r="A92" s="341" t="s">
        <v>69</v>
      </c>
      <c r="B92" s="342">
        <v>11579.311329824832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5711</v>
      </c>
    </row>
    <row r="98" spans="1:6">
      <c r="A98" s="348" t="s">
        <v>72</v>
      </c>
      <c r="B98" s="334">
        <v>8</v>
      </c>
    </row>
    <row r="99" spans="1:6">
      <c r="A99" s="348" t="s">
        <v>73</v>
      </c>
      <c r="B99" s="334">
        <v>124</v>
      </c>
    </row>
    <row r="100" spans="1:6">
      <c r="A100" s="348" t="s">
        <v>74</v>
      </c>
      <c r="B100" s="334">
        <v>1048</v>
      </c>
    </row>
    <row r="101" spans="1:6">
      <c r="A101" s="348" t="s">
        <v>75</v>
      </c>
      <c r="B101" s="334">
        <v>153</v>
      </c>
    </row>
    <row r="102" spans="1:6">
      <c r="A102" s="348" t="s">
        <v>76</v>
      </c>
      <c r="B102" s="334">
        <v>273</v>
      </c>
    </row>
    <row r="103" spans="1:6">
      <c r="A103" s="348" t="s">
        <v>77</v>
      </c>
      <c r="B103" s="334">
        <v>408</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40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147</v>
      </c>
    </row>
    <row r="130" spans="1:6">
      <c r="A130" s="348" t="s">
        <v>295</v>
      </c>
      <c r="B130" s="334">
        <v>3</v>
      </c>
    </row>
    <row r="131" spans="1:6">
      <c r="A131" s="348" t="s">
        <v>296</v>
      </c>
      <c r="B131" s="334">
        <v>2</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134397.39428922848</v>
      </c>
      <c r="C3" s="43" t="s">
        <v>170</v>
      </c>
      <c r="D3" s="43"/>
      <c r="E3" s="154"/>
      <c r="F3" s="43"/>
      <c r="G3" s="43"/>
      <c r="H3" s="43"/>
      <c r="I3" s="43"/>
      <c r="J3" s="43"/>
      <c r="K3" s="96"/>
    </row>
    <row r="4" spans="1:11">
      <c r="A4" s="383" t="s">
        <v>171</v>
      </c>
      <c r="B4" s="49">
        <f>IF(ISERROR('SEAP template'!B69),0,'SEAP template'!B69)</f>
        <v>16738.662957671142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0.1934753256325461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1616.146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1616.146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0.1934753256325461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312.68437361973685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44444.987735000002</v>
      </c>
      <c r="C5" s="17">
        <f>IF(ISERROR('Eigen informatie GS &amp; warmtenet'!B57),0,'Eigen informatie GS &amp; warmtenet'!B57)</f>
        <v>0</v>
      </c>
      <c r="D5" s="30">
        <f>(SUM(HH_hh_gas_kWh,HH_rest_gas_kWh)/1000)*0.902</f>
        <v>114801.21148275999</v>
      </c>
      <c r="E5" s="17">
        <f>B46*B57</f>
        <v>6118.7241523534094</v>
      </c>
      <c r="F5" s="17">
        <f>B51*B62</f>
        <v>0</v>
      </c>
      <c r="G5" s="18"/>
      <c r="H5" s="17"/>
      <c r="I5" s="17"/>
      <c r="J5" s="17">
        <f>B50*B61+C50*C61</f>
        <v>2330.8798831054378</v>
      </c>
      <c r="K5" s="17"/>
      <c r="L5" s="17"/>
      <c r="M5" s="17"/>
      <c r="N5" s="17">
        <f>B48*B59+C48*C59</f>
        <v>21441.691680988493</v>
      </c>
      <c r="O5" s="17">
        <f>B69*B70*B71</f>
        <v>292.34333333333331</v>
      </c>
      <c r="P5" s="17">
        <f>B77*B78*B79/1000-B77*B78*B79/1000/B80</f>
        <v>1105.8666666666668</v>
      </c>
    </row>
    <row r="6" spans="1:16">
      <c r="A6" s="16" t="s">
        <v>624</v>
      </c>
      <c r="B6" s="843">
        <f>kWh_PV_kleiner_dan_10kW</f>
        <v>5115.7016278463088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49560.689362846315</v>
      </c>
      <c r="C8" s="21">
        <f>C5</f>
        <v>0</v>
      </c>
      <c r="D8" s="21">
        <f>D5</f>
        <v>114801.21148275999</v>
      </c>
      <c r="E8" s="21">
        <f>E5</f>
        <v>6118.7241523534094</v>
      </c>
      <c r="F8" s="21">
        <f>F5</f>
        <v>0</v>
      </c>
      <c r="G8" s="21"/>
      <c r="H8" s="21"/>
      <c r="I8" s="21"/>
      <c r="J8" s="21">
        <f>J5</f>
        <v>2330.8798831054378</v>
      </c>
      <c r="K8" s="21"/>
      <c r="L8" s="21">
        <f>L5</f>
        <v>0</v>
      </c>
      <c r="M8" s="21">
        <f>M5</f>
        <v>0</v>
      </c>
      <c r="N8" s="21">
        <f>N5</f>
        <v>21441.691680988493</v>
      </c>
      <c r="O8" s="21">
        <f>O5</f>
        <v>292.34333333333331</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0.1934753256325461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9588.7705130501545</v>
      </c>
      <c r="C12" s="23">
        <f ca="1">C10*C8</f>
        <v>0</v>
      </c>
      <c r="D12" s="23">
        <f>D8*D10</f>
        <v>23189.844719517518</v>
      </c>
      <c r="E12" s="23">
        <f>E10*E8</f>
        <v>1388.9503825842239</v>
      </c>
      <c r="F12" s="23">
        <f>F10*F8</f>
        <v>0</v>
      </c>
      <c r="G12" s="23"/>
      <c r="H12" s="23"/>
      <c r="I12" s="23"/>
      <c r="J12" s="23">
        <f>J10*J8</f>
        <v>825.13147861932498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5711</v>
      </c>
      <c r="C18" s="166" t="s">
        <v>111</v>
      </c>
      <c r="D18" s="228"/>
      <c r="E18" s="15"/>
    </row>
    <row r="19" spans="1:7">
      <c r="A19" s="171" t="s">
        <v>72</v>
      </c>
      <c r="B19" s="37">
        <f>aantalw2001_ander</f>
        <v>8</v>
      </c>
      <c r="C19" s="166" t="s">
        <v>111</v>
      </c>
      <c r="D19" s="229"/>
      <c r="E19" s="15"/>
    </row>
    <row r="20" spans="1:7">
      <c r="A20" s="171" t="s">
        <v>73</v>
      </c>
      <c r="B20" s="37">
        <f>aantalw2001_propaan</f>
        <v>124</v>
      </c>
      <c r="C20" s="167">
        <f>IF(ISERROR(B20/SUM($B$20,$B$21,$B$22)*100),0,B20/SUM($B$20,$B$21,$B$22)*100)</f>
        <v>9.3584905660377355</v>
      </c>
      <c r="D20" s="229"/>
      <c r="E20" s="15"/>
    </row>
    <row r="21" spans="1:7">
      <c r="A21" s="171" t="s">
        <v>74</v>
      </c>
      <c r="B21" s="37">
        <f>aantalw2001_elektriciteit</f>
        <v>1048</v>
      </c>
      <c r="C21" s="167">
        <f>IF(ISERROR(B21/SUM($B$20,$B$21,$B$22)*100),0,B21/SUM($B$20,$B$21,$B$22)*100)</f>
        <v>79.094339622641513</v>
      </c>
      <c r="D21" s="229"/>
      <c r="E21" s="15"/>
    </row>
    <row r="22" spans="1:7">
      <c r="A22" s="171" t="s">
        <v>75</v>
      </c>
      <c r="B22" s="37">
        <f>aantalw2001_hout</f>
        <v>153</v>
      </c>
      <c r="C22" s="167">
        <f>IF(ISERROR(B22/SUM($B$20,$B$21,$B$22)*100),0,B22/SUM($B$20,$B$21,$B$22)*100)</f>
        <v>11.547169811320755</v>
      </c>
      <c r="D22" s="229"/>
      <c r="E22" s="15"/>
    </row>
    <row r="23" spans="1:7">
      <c r="A23" s="171" t="s">
        <v>76</v>
      </c>
      <c r="B23" s="37">
        <f>aantalw2001_niet_gespec</f>
        <v>273</v>
      </c>
      <c r="C23" s="166" t="s">
        <v>111</v>
      </c>
      <c r="D23" s="228"/>
      <c r="E23" s="15"/>
    </row>
    <row r="24" spans="1:7">
      <c r="A24" s="171" t="s">
        <v>77</v>
      </c>
      <c r="B24" s="37">
        <f>aantalw2001_steenkool</f>
        <v>408</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12062</v>
      </c>
      <c r="C28" s="36"/>
      <c r="D28" s="228"/>
    </row>
    <row r="29" spans="1:7" s="15" customFormat="1">
      <c r="A29" s="230" t="s">
        <v>699</v>
      </c>
      <c r="B29" s="37">
        <f>SUM(HH_hh_gas_aantal,HH_rest_gas_aantal)</f>
        <v>9038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9038</v>
      </c>
      <c r="C32" s="167">
        <f>IF(ISERROR(B32/SUM($B$32,$B$34,$B$35,$B$36,$B$38,$B$39)*100),0,B32/SUM($B$32,$B$34,$B$35,$B$36,$B$38,$B$39)*100)</f>
        <v>75.291569476841076</v>
      </c>
      <c r="D32" s="233"/>
      <c r="G32" s="15"/>
    </row>
    <row r="33" spans="1:7">
      <c r="A33" s="171" t="s">
        <v>72</v>
      </c>
      <c r="B33" s="34" t="s">
        <v>111</v>
      </c>
      <c r="C33" s="167"/>
      <c r="D33" s="233"/>
      <c r="G33" s="15"/>
    </row>
    <row r="34" spans="1:7">
      <c r="A34" s="171" t="s">
        <v>73</v>
      </c>
      <c r="B34" s="33">
        <f>IF((($B$28-$B$32-$B$39-$B$77-$B$38)*C20/100)&lt;0,0,($B$28-$B$32-$B$39-$B$77-$B$38)*C20/100)</f>
        <v>270.52588679245281</v>
      </c>
      <c r="C34" s="167">
        <f>IF(ISERROR(B34/SUM($B$32,$B$34,$B$35,$B$36,$B$38,$B$39)*100),0,B34/SUM($B$32,$B$34,$B$35,$B$36,$B$38,$B$39)*100)</f>
        <v>2.2536311795439259</v>
      </c>
      <c r="D34" s="233"/>
      <c r="G34" s="15"/>
    </row>
    <row r="35" spans="1:7">
      <c r="A35" s="171" t="s">
        <v>74</v>
      </c>
      <c r="B35" s="33">
        <f>IF((($B$28-$B$32-$B$39-$B$77-$B$38)*C21/100)&lt;0,0,($B$28-$B$32-$B$39-$B$77-$B$38)*C21/100)</f>
        <v>2286.3800754716981</v>
      </c>
      <c r="C35" s="167">
        <f>IF(ISERROR(B35/SUM($B$32,$B$34,$B$35,$B$36,$B$38,$B$39)*100),0,B35/SUM($B$32,$B$34,$B$35,$B$36,$B$38,$B$39)*100)</f>
        <v>19.04681835614544</v>
      </c>
      <c r="D35" s="233"/>
      <c r="G35" s="15"/>
    </row>
    <row r="36" spans="1:7">
      <c r="A36" s="171" t="s">
        <v>75</v>
      </c>
      <c r="B36" s="33">
        <f>IF((($B$28-$B$32-$B$39-$B$77-$B$38)*C22/100)&lt;0,0,($B$28-$B$32-$B$39-$B$77-$B$38)*C22/100)</f>
        <v>333.79403773584903</v>
      </c>
      <c r="C36" s="167">
        <f>IF(ISERROR(B36/SUM($B$32,$B$34,$B$35,$B$36,$B$38,$B$39)*100),0,B36/SUM($B$32,$B$34,$B$35,$B$36,$B$38,$B$39)*100)</f>
        <v>2.7806900844372633</v>
      </c>
      <c r="D36" s="233"/>
      <c r="G36" s="15"/>
    </row>
    <row r="37" spans="1:7">
      <c r="A37" s="171" t="s">
        <v>76</v>
      </c>
      <c r="B37" s="34" t="s">
        <v>111</v>
      </c>
      <c r="C37" s="167"/>
      <c r="D37" s="173"/>
      <c r="G37" s="15"/>
    </row>
    <row r="38" spans="1:7">
      <c r="A38" s="171" t="s">
        <v>77</v>
      </c>
      <c r="B38" s="33">
        <f>IF((B24-(B29-B18)*0.1)&lt;0,0,B24-(B29-B18)*0.1)</f>
        <v>75.299999999999955</v>
      </c>
      <c r="C38" s="167">
        <f>IF(ISERROR(B38/SUM($B$32,$B$34,$B$35,$B$36,$B$38,$B$39)*100),0,B38/SUM($B$32,$B$34,$B$35,$B$36,$B$38,$B$39)*100)</f>
        <v>0.62729090303232227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9038</v>
      </c>
      <c r="C44" s="34" t="s">
        <v>111</v>
      </c>
      <c r="D44" s="174"/>
    </row>
    <row r="45" spans="1:7">
      <c r="A45" s="171" t="s">
        <v>72</v>
      </c>
      <c r="B45" s="33" t="str">
        <f t="shared" si="0"/>
        <v>-</v>
      </c>
      <c r="C45" s="34" t="s">
        <v>111</v>
      </c>
      <c r="D45" s="174"/>
    </row>
    <row r="46" spans="1:7">
      <c r="A46" s="171" t="s">
        <v>73</v>
      </c>
      <c r="B46" s="33">
        <f t="shared" si="0"/>
        <v>270.52588679245281</v>
      </c>
      <c r="C46" s="34" t="s">
        <v>111</v>
      </c>
      <c r="D46" s="174"/>
    </row>
    <row r="47" spans="1:7">
      <c r="A47" s="171" t="s">
        <v>74</v>
      </c>
      <c r="B47" s="33">
        <f t="shared" si="0"/>
        <v>2286.3800754716981</v>
      </c>
      <c r="C47" s="34" t="s">
        <v>111</v>
      </c>
      <c r="D47" s="174"/>
    </row>
    <row r="48" spans="1:7">
      <c r="A48" s="171" t="s">
        <v>75</v>
      </c>
      <c r="B48" s="33">
        <f t="shared" si="0"/>
        <v>333.79403773584903</v>
      </c>
      <c r="C48" s="33">
        <f>B48*10</f>
        <v>3337.9403773584904</v>
      </c>
      <c r="D48" s="234"/>
    </row>
    <row r="49" spans="1:6">
      <c r="A49" s="171" t="s">
        <v>76</v>
      </c>
      <c r="B49" s="33" t="str">
        <f t="shared" si="0"/>
        <v>-</v>
      </c>
      <c r="C49" s="34" t="s">
        <v>111</v>
      </c>
      <c r="D49" s="234"/>
    </row>
    <row r="50" spans="1:6">
      <c r="A50" s="171" t="s">
        <v>77</v>
      </c>
      <c r="B50" s="33">
        <f t="shared" si="0"/>
        <v>75.299999999999955</v>
      </c>
      <c r="C50" s="33">
        <f>B50*2</f>
        <v>150.59999999999991</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39813.397831859991</v>
      </c>
      <c r="C5" s="17">
        <f>IF(ISERROR('Eigen informatie GS &amp; warmtenet'!B58),0,'Eigen informatie GS &amp; warmtenet'!B58)</f>
        <v>0</v>
      </c>
      <c r="D5" s="30">
        <f>SUM(D6:D12)</f>
        <v>44001.123015185593</v>
      </c>
      <c r="E5" s="17">
        <f>SUM(E6:E12)</f>
        <v>786.54956462817745</v>
      </c>
      <c r="F5" s="17">
        <f>SUM(F6:F12)</f>
        <v>9627.761062846821</v>
      </c>
      <c r="G5" s="18"/>
      <c r="H5" s="17"/>
      <c r="I5" s="17"/>
      <c r="J5" s="17">
        <f>SUM(J6:J12)</f>
        <v>0</v>
      </c>
      <c r="K5" s="17"/>
      <c r="L5" s="17"/>
      <c r="M5" s="17"/>
      <c r="N5" s="17">
        <f>SUM(N6:N12)</f>
        <v>3581.0082475010722</v>
      </c>
      <c r="O5" s="17">
        <f>B38*B39*B40</f>
        <v>4.6900000000000004</v>
      </c>
      <c r="P5" s="17">
        <f>B46*B47*B48/1000-B46*B47*B48/1000/B49</f>
        <v>38.133333333333333</v>
      </c>
      <c r="R5" s="32"/>
    </row>
    <row r="6" spans="1:18">
      <c r="A6" s="32" t="s">
        <v>54</v>
      </c>
      <c r="B6" s="37">
        <f>B26</f>
        <v>12052.963915999999</v>
      </c>
      <c r="C6" s="33"/>
      <c r="D6" s="37">
        <f>IF(ISERROR(TER_kantoor_gas_kWh/1000),0,TER_kantoor_gas_kWh/1000)*0.902</f>
        <v>9524.035094244</v>
      </c>
      <c r="E6" s="33">
        <f>$C$26*'E Balans VL '!I12/100/3.6*1000000</f>
        <v>157.78814475909545</v>
      </c>
      <c r="F6" s="33">
        <f>$C$26*('E Balans VL '!L12+'E Balans VL '!N12)/100/3.6*1000000</f>
        <v>3073.38124790347</v>
      </c>
      <c r="G6" s="34"/>
      <c r="H6" s="33"/>
      <c r="I6" s="33"/>
      <c r="J6" s="33">
        <f>$C$26*('E Balans VL '!D12+'E Balans VL '!E12)/100/3.6*1000000</f>
        <v>0</v>
      </c>
      <c r="K6" s="33"/>
      <c r="L6" s="33"/>
      <c r="M6" s="33"/>
      <c r="N6" s="33">
        <f>$C$26*'E Balans VL '!Y12/100/3.6*1000000</f>
        <v>12.093551626396518</v>
      </c>
      <c r="O6" s="33"/>
      <c r="P6" s="33"/>
      <c r="R6" s="32"/>
    </row>
    <row r="7" spans="1:18">
      <c r="A7" s="32" t="s">
        <v>53</v>
      </c>
      <c r="B7" s="37">
        <f t="shared" ref="B7:B12" si="0">B27</f>
        <v>2207.7411115</v>
      </c>
      <c r="C7" s="33"/>
      <c r="D7" s="37">
        <f>IF(ISERROR(TER_horeca_gas_kWh/1000),0,TER_horeca_gas_kWh/1000)*0.902</f>
        <v>4409.981330865</v>
      </c>
      <c r="E7" s="33">
        <f>$C$27*'E Balans VL '!I9/100/3.6*1000000</f>
        <v>73.062801551965194</v>
      </c>
      <c r="F7" s="33">
        <f>$C$27*('E Balans VL '!L9+'E Balans VL '!N9)/100/3.6*1000000</f>
        <v>949.32021685618406</v>
      </c>
      <c r="G7" s="34"/>
      <c r="H7" s="33"/>
      <c r="I7" s="33"/>
      <c r="J7" s="33">
        <f>$C$27*('E Balans VL '!D9+'E Balans VL '!E9)/100/3.6*1000000</f>
        <v>0</v>
      </c>
      <c r="K7" s="33"/>
      <c r="L7" s="33"/>
      <c r="M7" s="33"/>
      <c r="N7" s="33">
        <f>$C$27*'E Balans VL '!Y9/100/3.6*1000000</f>
        <v>0.53143534545727289</v>
      </c>
      <c r="O7" s="33"/>
      <c r="P7" s="33"/>
      <c r="R7" s="32"/>
    </row>
    <row r="8" spans="1:18">
      <c r="A8" s="6" t="s">
        <v>52</v>
      </c>
      <c r="B8" s="37">
        <f t="shared" si="0"/>
        <v>14226.60425</v>
      </c>
      <c r="C8" s="33"/>
      <c r="D8" s="37">
        <f>IF(ISERROR(TER_handel_gas_kWh/1000),0,TER_handel_gas_kWh/1000)*0.902</f>
        <v>12665.957710537999</v>
      </c>
      <c r="E8" s="33">
        <f>$C$28*'E Balans VL '!I13/100/3.6*1000000</f>
        <v>449.01336773423975</v>
      </c>
      <c r="F8" s="33">
        <f>$C$28*('E Balans VL '!L13+'E Balans VL '!N13)/100/3.6*1000000</f>
        <v>2790.0876083724957</v>
      </c>
      <c r="G8" s="34"/>
      <c r="H8" s="33"/>
      <c r="I8" s="33"/>
      <c r="J8" s="33">
        <f>$C$28*('E Balans VL '!D13+'E Balans VL '!E13)/100/3.6*1000000</f>
        <v>0</v>
      </c>
      <c r="K8" s="33"/>
      <c r="L8" s="33"/>
      <c r="M8" s="33"/>
      <c r="N8" s="33">
        <f>$C$28*'E Balans VL '!Y13/100/3.6*1000000</f>
        <v>16.884217183443212</v>
      </c>
      <c r="O8" s="33"/>
      <c r="P8" s="33"/>
      <c r="R8" s="32"/>
    </row>
    <row r="9" spans="1:18">
      <c r="A9" s="32" t="s">
        <v>51</v>
      </c>
      <c r="B9" s="37">
        <f t="shared" si="0"/>
        <v>1299.5835612000001</v>
      </c>
      <c r="C9" s="33"/>
      <c r="D9" s="37">
        <f>IF(ISERROR(TER_gezond_gas_kWh/1000),0,TER_gezond_gas_kWh/1000)*0.902</f>
        <v>2443.2585498024</v>
      </c>
      <c r="E9" s="33">
        <f>$C$29*'E Balans VL '!I10/100/3.6*1000000</f>
        <v>0.16638471430712429</v>
      </c>
      <c r="F9" s="33">
        <f>$C$29*('E Balans VL '!L10+'E Balans VL '!N10)/100/3.6*1000000</f>
        <v>270.75772633687438</v>
      </c>
      <c r="G9" s="34"/>
      <c r="H9" s="33"/>
      <c r="I9" s="33"/>
      <c r="J9" s="33">
        <f>$C$29*('E Balans VL '!D10+'E Balans VL '!E10)/100/3.6*1000000</f>
        <v>0</v>
      </c>
      <c r="K9" s="33"/>
      <c r="L9" s="33"/>
      <c r="M9" s="33"/>
      <c r="N9" s="33">
        <f>$C$29*'E Balans VL '!Y10/100/3.6*1000000</f>
        <v>15.264223190239742</v>
      </c>
      <c r="O9" s="33"/>
      <c r="P9" s="33"/>
      <c r="R9" s="32"/>
    </row>
    <row r="10" spans="1:18">
      <c r="A10" s="32" t="s">
        <v>50</v>
      </c>
      <c r="B10" s="37">
        <f t="shared" si="0"/>
        <v>3851.0844522000002</v>
      </c>
      <c r="C10" s="33"/>
      <c r="D10" s="37">
        <f>IF(ISERROR(TER_ander_gas_kWh/1000),0,TER_ander_gas_kWh/1000)*0.902</f>
        <v>5933.2222107598</v>
      </c>
      <c r="E10" s="33">
        <f>$C$30*'E Balans VL '!I14/100/3.6*1000000</f>
        <v>5.7911253735694679</v>
      </c>
      <c r="F10" s="33">
        <f>$C$30*('E Balans VL '!L14+'E Balans VL '!N14)/100/3.6*1000000</f>
        <v>850.19530889047849</v>
      </c>
      <c r="G10" s="34"/>
      <c r="H10" s="33"/>
      <c r="I10" s="33"/>
      <c r="J10" s="33">
        <f>$C$30*('E Balans VL '!D14+'E Balans VL '!E14)/100/3.6*1000000</f>
        <v>0</v>
      </c>
      <c r="K10" s="33"/>
      <c r="L10" s="33"/>
      <c r="M10" s="33"/>
      <c r="N10" s="33">
        <f>$C$30*'E Balans VL '!Y14/100/3.6*1000000</f>
        <v>3034.9137165456191</v>
      </c>
      <c r="O10" s="33"/>
      <c r="P10" s="33"/>
      <c r="R10" s="32"/>
    </row>
    <row r="11" spans="1:18">
      <c r="A11" s="32" t="s">
        <v>55</v>
      </c>
      <c r="B11" s="37">
        <f t="shared" si="0"/>
        <v>504.86948286000001</v>
      </c>
      <c r="C11" s="33"/>
      <c r="D11" s="37">
        <f>IF(ISERROR(TER_onderwijs_gas_kWh/1000),0,TER_onderwijs_gas_kWh/1000)*0.902</f>
        <v>1407.9781223002001</v>
      </c>
      <c r="E11" s="33">
        <f>$C$31*'E Balans VL '!I11/100/3.6*1000000</f>
        <v>0.88911746723288076</v>
      </c>
      <c r="F11" s="33">
        <f>$C$31*('E Balans VL '!L11+'E Balans VL '!N11)/100/3.6*1000000</f>
        <v>233.10737583464478</v>
      </c>
      <c r="G11" s="34"/>
      <c r="H11" s="33"/>
      <c r="I11" s="33"/>
      <c r="J11" s="33">
        <f>$C$31*('E Balans VL '!D11+'E Balans VL '!E11)/100/3.6*1000000</f>
        <v>0</v>
      </c>
      <c r="K11" s="33"/>
      <c r="L11" s="33"/>
      <c r="M11" s="33"/>
      <c r="N11" s="33">
        <f>$C$31*'E Balans VL '!Y11/100/3.6*1000000</f>
        <v>0.94057882829653638</v>
      </c>
      <c r="O11" s="33"/>
      <c r="P11" s="33"/>
      <c r="R11" s="32"/>
    </row>
    <row r="12" spans="1:18">
      <c r="A12" s="32" t="s">
        <v>260</v>
      </c>
      <c r="B12" s="37">
        <f t="shared" si="0"/>
        <v>5670.5510580999999</v>
      </c>
      <c r="C12" s="33"/>
      <c r="D12" s="37">
        <f>IF(ISERROR(TER_rest_gas_kWh/1000),0,TER_rest_gas_kWh/1000)*0.902</f>
        <v>7616.6899966762003</v>
      </c>
      <c r="E12" s="33">
        <f>$C$32*'E Balans VL '!I8/100/3.6*1000000</f>
        <v>99.838623027767596</v>
      </c>
      <c r="F12" s="33">
        <f>$C$32*('E Balans VL '!L8+'E Balans VL '!N8)/100/3.6*1000000</f>
        <v>1460.9115786526736</v>
      </c>
      <c r="G12" s="34"/>
      <c r="H12" s="33"/>
      <c r="I12" s="33"/>
      <c r="J12" s="33">
        <f>$C$32*('E Balans VL '!D8+'E Balans VL '!E8)/100/3.6*1000000</f>
        <v>0</v>
      </c>
      <c r="K12" s="33"/>
      <c r="L12" s="33"/>
      <c r="M12" s="33"/>
      <c r="N12" s="33">
        <f>$C$32*'E Balans VL '!Y8/100/3.6*1000000</f>
        <v>500.38052478162012</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39813.397831859991</v>
      </c>
      <c r="C16" s="21">
        <f t="shared" ca="1" si="1"/>
        <v>0</v>
      </c>
      <c r="D16" s="21">
        <f t="shared" ca="1" si="1"/>
        <v>44001.123015185593</v>
      </c>
      <c r="E16" s="21">
        <f t="shared" si="1"/>
        <v>786.54956462817745</v>
      </c>
      <c r="F16" s="21">
        <f t="shared" ca="1" si="1"/>
        <v>9627.761062846821</v>
      </c>
      <c r="G16" s="21">
        <f t="shared" si="1"/>
        <v>0</v>
      </c>
      <c r="H16" s="21">
        <f t="shared" si="1"/>
        <v>0</v>
      </c>
      <c r="I16" s="21">
        <f t="shared" si="1"/>
        <v>0</v>
      </c>
      <c r="J16" s="21">
        <f t="shared" si="1"/>
        <v>0</v>
      </c>
      <c r="K16" s="21">
        <f t="shared" si="1"/>
        <v>0</v>
      </c>
      <c r="L16" s="21">
        <f t="shared" ca="1" si="1"/>
        <v>0</v>
      </c>
      <c r="M16" s="21">
        <f t="shared" si="1"/>
        <v>0</v>
      </c>
      <c r="N16" s="21">
        <f t="shared" ca="1" si="1"/>
        <v>3581.0082475010722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0.1934753256325461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7702.910110057217</v>
      </c>
      <c r="C20" s="23">
        <f t="shared" ref="C20:P20" ca="1" si="2">C16*C18</f>
        <v>0</v>
      </c>
      <c r="D20" s="23">
        <f t="shared" ca="1" si="2"/>
        <v>8888.2268490674905</v>
      </c>
      <c r="E20" s="23">
        <f t="shared" si="2"/>
        <v>178.54675117059628</v>
      </c>
      <c r="F20" s="23">
        <f t="shared" ca="1" si="2"/>
        <v>2570.6122037801015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12052.963915999999</v>
      </c>
      <c r="C26" s="39">
        <f>IF(ISERROR(B26*3.6/1000000/'E Balans VL '!Z12*100),0,B26*3.6/1000000/'E Balans VL '!Z12*100)</f>
        <v>0.25818385066377281</v>
      </c>
      <c r="D26" s="237" t="s">
        <v>660</v>
      </c>
      <c r="F26" s="6"/>
    </row>
    <row r="27" spans="1:18">
      <c r="A27" s="231" t="s">
        <v>53</v>
      </c>
      <c r="B27" s="33">
        <f>IF(ISERROR(TER_horeca_ele_kWh/1000),0,TER_horeca_ele_kWh/1000)</f>
        <v>2207.7411115</v>
      </c>
      <c r="C27" s="39">
        <f>IF(ISERROR(B27*3.6/1000000/'E Balans VL '!Z9*100),0,B27*3.6/1000000/'E Balans VL '!Z9*100)</f>
        <v>0.17716355016810154</v>
      </c>
      <c r="D27" s="237" t="s">
        <v>660</v>
      </c>
      <c r="F27" s="6"/>
    </row>
    <row r="28" spans="1:18">
      <c r="A28" s="171" t="s">
        <v>52</v>
      </c>
      <c r="B28" s="33">
        <f>IF(ISERROR(TER_handel_ele_kWh/1000),0,TER_handel_ele_kWh/1000)</f>
        <v>14226.60425</v>
      </c>
      <c r="C28" s="39">
        <f>IF(ISERROR(B28*3.6/1000000/'E Balans VL '!Z13*100),0,B28*3.6/1000000/'E Balans VL '!Z13*100)</f>
        <v>0.41960322482780343</v>
      </c>
      <c r="D28" s="237" t="s">
        <v>660</v>
      </c>
      <c r="F28" s="6"/>
    </row>
    <row r="29" spans="1:18">
      <c r="A29" s="231" t="s">
        <v>51</v>
      </c>
      <c r="B29" s="33">
        <f>IF(ISERROR(TER_gezond_ele_kWh/1000),0,TER_gezond_ele_kWh/1000)</f>
        <v>1299.5835612000001</v>
      </c>
      <c r="C29" s="39">
        <f>IF(ISERROR(B29*3.6/1000000/'E Balans VL '!Z10*100),0,B29*3.6/1000000/'E Balans VL '!Z10*100)</f>
        <v>0.1387606811942772</v>
      </c>
      <c r="D29" s="237" t="s">
        <v>660</v>
      </c>
      <c r="F29" s="6"/>
    </row>
    <row r="30" spans="1:18">
      <c r="A30" s="231" t="s">
        <v>50</v>
      </c>
      <c r="B30" s="33">
        <f>IF(ISERROR(TER_ander_ele_kWh/1000),0,TER_ander_ele_kWh/1000)</f>
        <v>3851.0844522000002</v>
      </c>
      <c r="C30" s="39">
        <f>IF(ISERROR(B30*3.6/1000000/'E Balans VL '!Z14*100),0,B30*3.6/1000000/'E Balans VL '!Z14*100)</f>
        <v>0.29088753127331451</v>
      </c>
      <c r="D30" s="237" t="s">
        <v>660</v>
      </c>
      <c r="F30" s="6"/>
    </row>
    <row r="31" spans="1:18">
      <c r="A31" s="231" t="s">
        <v>55</v>
      </c>
      <c r="B31" s="33">
        <f>IF(ISERROR(TER_onderwijs_ele_kWh/1000),0,TER_onderwijs_ele_kWh/1000)</f>
        <v>504.86948286000001</v>
      </c>
      <c r="C31" s="39">
        <f>IF(ISERROR(B31*3.6/1000000/'E Balans VL '!Z11*100),0,B31*3.6/1000000/'E Balans VL '!Z11*100)</f>
        <v>0.10195000243480243</v>
      </c>
      <c r="D31" s="237" t="s">
        <v>660</v>
      </c>
    </row>
    <row r="32" spans="1:18">
      <c r="A32" s="231" t="s">
        <v>260</v>
      </c>
      <c r="B32" s="33">
        <f>IF(ISERROR(TER_rest_ele_kWh/1000),0,TER_rest_ele_kWh/1000)</f>
        <v>5670.5510580999999</v>
      </c>
      <c r="C32" s="39">
        <f>IF(ISERROR(B32*3.6/1000000/'E Balans VL '!Z8*100),0,B32*3.6/1000000/'E Balans VL '!Z8*100)</f>
        <v>4.7016764457033372E-2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41993.375030833995</v>
      </c>
      <c r="C5" s="17">
        <f>IF(ISERROR('Eigen informatie GS &amp; warmtenet'!B59),0,'Eigen informatie GS &amp; warmtenet'!B59)</f>
        <v>0</v>
      </c>
      <c r="D5" s="30">
        <f>SUM(D6:D15)</f>
        <v>23997.282020944123</v>
      </c>
      <c r="E5" s="17">
        <f>SUM(E6:E15)</f>
        <v>2927.5292949501318</v>
      </c>
      <c r="F5" s="17">
        <f>SUM(F6:F15)</f>
        <v>12080.426506858743</v>
      </c>
      <c r="G5" s="18"/>
      <c r="H5" s="17"/>
      <c r="I5" s="17"/>
      <c r="J5" s="17">
        <f>SUM(J6:J15)</f>
        <v>255.54070153513013</v>
      </c>
      <c r="K5" s="17"/>
      <c r="L5" s="17"/>
      <c r="M5" s="17"/>
      <c r="N5" s="17">
        <f>SUM(N6:N15)</f>
        <v>9163.8303972266185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1666.8976207999999</v>
      </c>
      <c r="C8" s="33"/>
      <c r="D8" s="37">
        <f>IF( ISERROR(IND_metaal_Gas_kWH/1000),0,IND_metaal_Gas_kWH/1000)*0.902</f>
        <v>967.02080665300002</v>
      </c>
      <c r="E8" s="33">
        <f>C30*'E Balans VL '!I18/100/3.6*1000000</f>
        <v>59.980019103521968</v>
      </c>
      <c r="F8" s="33">
        <f>C30*'E Balans VL '!L18/100/3.6*1000000+C30*'E Balans VL '!N18/100/3.6*1000000</f>
        <v>727.88015599611299</v>
      </c>
      <c r="G8" s="34"/>
      <c r="H8" s="33"/>
      <c r="I8" s="33"/>
      <c r="J8" s="40">
        <f>C30*'E Balans VL '!D18/100/3.6*1000000+C30*'E Balans VL '!E18/100/3.6*1000000</f>
        <v>0</v>
      </c>
      <c r="K8" s="33"/>
      <c r="L8" s="33"/>
      <c r="M8" s="33"/>
      <c r="N8" s="33">
        <f>C30*'E Balans VL '!Y18/100/3.6*1000000</f>
        <v>83.543775977534068</v>
      </c>
      <c r="O8" s="33"/>
      <c r="P8" s="33"/>
      <c r="R8" s="32"/>
    </row>
    <row r="9" spans="1:18">
      <c r="A9" s="6" t="s">
        <v>33</v>
      </c>
      <c r="B9" s="37">
        <f t="shared" si="0"/>
        <v>4214.6409820999997</v>
      </c>
      <c r="C9" s="33"/>
      <c r="D9" s="37">
        <f>IF( ISERROR(IND_andere_gas_kWh/1000),0,IND_andere_gas_kWh/1000)*0.902</f>
        <v>4536.0906370163993</v>
      </c>
      <c r="E9" s="33">
        <f>C31*'E Balans VL '!I19/100/3.6*1000000</f>
        <v>1075.4810197087957</v>
      </c>
      <c r="F9" s="33">
        <f>C31*'E Balans VL '!L19/100/3.6*1000000+C31*'E Balans VL '!N19/100/3.6*1000000</f>
        <v>3628.4891008563523</v>
      </c>
      <c r="G9" s="34"/>
      <c r="H9" s="33"/>
      <c r="I9" s="33"/>
      <c r="J9" s="40">
        <f>C31*'E Balans VL '!D19/100/3.6*1000000+C31*'E Balans VL '!E19/100/3.6*1000000</f>
        <v>0</v>
      </c>
      <c r="K9" s="33"/>
      <c r="L9" s="33"/>
      <c r="M9" s="33"/>
      <c r="N9" s="33">
        <f>C31*'E Balans VL '!Y19/100/3.6*1000000</f>
        <v>1318.0625714819917</v>
      </c>
      <c r="O9" s="33"/>
      <c r="P9" s="33"/>
      <c r="R9" s="32"/>
    </row>
    <row r="10" spans="1:18">
      <c r="A10" s="6" t="s">
        <v>41</v>
      </c>
      <c r="B10" s="37">
        <f t="shared" si="0"/>
        <v>3767.9731726</v>
      </c>
      <c r="C10" s="33"/>
      <c r="D10" s="37">
        <f>IF( ISERROR(IND_voed_gas_kWh/1000),0,IND_voed_gas_kWh/1000)*0.902</f>
        <v>1743.3430656488001</v>
      </c>
      <c r="E10" s="33">
        <f>C32*'E Balans VL '!I20/100/3.6*1000000</f>
        <v>95.787051898646325</v>
      </c>
      <c r="F10" s="33">
        <f>C32*'E Balans VL '!L20/100/3.6*1000000+C32*'E Balans VL '!N20/100/3.6*1000000</f>
        <v>852.63576680413587</v>
      </c>
      <c r="G10" s="34"/>
      <c r="H10" s="33"/>
      <c r="I10" s="33"/>
      <c r="J10" s="40">
        <f>C32*'E Balans VL '!D20/100/3.6*1000000+C32*'E Balans VL '!E20/100/3.6*1000000</f>
        <v>0</v>
      </c>
      <c r="K10" s="33"/>
      <c r="L10" s="33"/>
      <c r="M10" s="33"/>
      <c r="N10" s="33">
        <f>C32*'E Balans VL '!Y20/100/3.6*1000000</f>
        <v>1413.0920746551838</v>
      </c>
      <c r="O10" s="33"/>
      <c r="P10" s="33"/>
      <c r="R10" s="32"/>
    </row>
    <row r="11" spans="1:18">
      <c r="A11" s="6" t="s">
        <v>40</v>
      </c>
      <c r="B11" s="37">
        <f t="shared" si="0"/>
        <v>943.07934563000003</v>
      </c>
      <c r="C11" s="33"/>
      <c r="D11" s="37">
        <f>IF( ISERROR(IND_textiel_gas_kWh/1000),0,IND_textiel_gas_kWh/1000)*0.902</f>
        <v>113.36177844222</v>
      </c>
      <c r="E11" s="33">
        <f>C33*'E Balans VL '!I21/100/3.6*1000000</f>
        <v>2.5890064193399276</v>
      </c>
      <c r="F11" s="33">
        <f>C33*'E Balans VL '!L21/100/3.6*1000000+C33*'E Balans VL '!N21/100/3.6*1000000</f>
        <v>49.998136587232352</v>
      </c>
      <c r="G11" s="34"/>
      <c r="H11" s="33"/>
      <c r="I11" s="33"/>
      <c r="J11" s="40">
        <f>C33*'E Balans VL '!D21/100/3.6*1000000+C33*'E Balans VL '!E21/100/3.6*1000000</f>
        <v>0</v>
      </c>
      <c r="K11" s="33"/>
      <c r="L11" s="33"/>
      <c r="M11" s="33"/>
      <c r="N11" s="33">
        <f>C33*'E Balans VL '!Y21/100/3.6*1000000</f>
        <v>1.8954334214882775</v>
      </c>
      <c r="O11" s="33"/>
      <c r="P11" s="33"/>
      <c r="R11" s="32"/>
    </row>
    <row r="12" spans="1:18">
      <c r="A12" s="6" t="s">
        <v>37</v>
      </c>
      <c r="B12" s="37">
        <f t="shared" si="0"/>
        <v>249.06360916</v>
      </c>
      <c r="C12" s="33"/>
      <c r="D12" s="37">
        <f>IF( ISERROR(IND_min_gas_kWh/1000),0,IND_min_gas_kWh/1000)*0.902</f>
        <v>0</v>
      </c>
      <c r="E12" s="33">
        <f>C34*'E Balans VL '!I22/100/3.6*1000000</f>
        <v>5.2919774858997819</v>
      </c>
      <c r="F12" s="33">
        <f>C34*'E Balans VL '!L22/100/3.6*1000000+C34*'E Balans VL '!N22/100/3.6*1000000</f>
        <v>40.636850379092806</v>
      </c>
      <c r="G12" s="34"/>
      <c r="H12" s="33"/>
      <c r="I12" s="33"/>
      <c r="J12" s="40">
        <f>C34*'E Balans VL '!D22/100/3.6*1000000+C34*'E Balans VL '!E22/100/3.6*1000000</f>
        <v>0.29018234741491505</v>
      </c>
      <c r="K12" s="33"/>
      <c r="L12" s="33"/>
      <c r="M12" s="33"/>
      <c r="N12" s="33">
        <f>C34*'E Balans VL '!Y22/100/3.6*1000000</f>
        <v>0</v>
      </c>
      <c r="O12" s="33"/>
      <c r="P12" s="33"/>
      <c r="R12" s="32"/>
    </row>
    <row r="13" spans="1:18">
      <c r="A13" s="6" t="s">
        <v>39</v>
      </c>
      <c r="B13" s="37">
        <f t="shared" si="0"/>
        <v>45.887872543999997</v>
      </c>
      <c r="C13" s="33"/>
      <c r="D13" s="37">
        <f>IF( ISERROR(IND_papier_gas_kWh/1000),0,IND_papier_gas_kWh/1000)*0.902</f>
        <v>70.632306413701997</v>
      </c>
      <c r="E13" s="33">
        <f>C35*'E Balans VL '!I23/100/3.6*1000000</f>
        <v>0.19679973574304266</v>
      </c>
      <c r="F13" s="33">
        <f>C35*'E Balans VL '!L23/100/3.6*1000000+C35*'E Balans VL '!N23/100/3.6*1000000</f>
        <v>1.1533046639201947</v>
      </c>
      <c r="G13" s="34"/>
      <c r="H13" s="33"/>
      <c r="I13" s="33"/>
      <c r="J13" s="40">
        <f>C35*'E Balans VL '!D23/100/3.6*1000000+C35*'E Balans VL '!E23/100/3.6*1000000</f>
        <v>3.071941382193184</v>
      </c>
      <c r="K13" s="33"/>
      <c r="L13" s="33"/>
      <c r="M13" s="33"/>
      <c r="N13" s="33">
        <f>C35*'E Balans VL '!Y23/100/3.6*1000000</f>
        <v>83.526840582510673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31105.832427999998</v>
      </c>
      <c r="C15" s="33"/>
      <c r="D15" s="37">
        <f>IF( ISERROR(IND_rest_gas_kWh/1000),0,IND_rest_gas_kWh/1000)*0.902</f>
        <v>16566.833426770001</v>
      </c>
      <c r="E15" s="33">
        <f>C37*'E Balans VL '!I15/100/3.6*1000000</f>
        <v>1688.2034205981852</v>
      </c>
      <c r="F15" s="33">
        <f>C37*'E Balans VL '!L15/100/3.6*1000000+C37*'E Balans VL '!N15/100/3.6*1000000</f>
        <v>6779.6331915718956</v>
      </c>
      <c r="G15" s="34"/>
      <c r="H15" s="33"/>
      <c r="I15" s="33"/>
      <c r="J15" s="40">
        <f>C37*'E Balans VL '!D15/100/3.6*1000000+C37*'E Balans VL '!E15/100/3.6*1000000</f>
        <v>252.17857780552202</v>
      </c>
      <c r="K15" s="33"/>
      <c r="L15" s="33"/>
      <c r="M15" s="33"/>
      <c r="N15" s="33">
        <f>C37*'E Balans VL '!Y15/100/3.6*1000000</f>
        <v>6263.7097011079104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41993.375030833995</v>
      </c>
      <c r="C18" s="21">
        <f>C5+C16</f>
        <v>0</v>
      </c>
      <c r="D18" s="21">
        <f>MAX((D5+D16),0)</f>
        <v>23997.282020944123</v>
      </c>
      <c r="E18" s="21">
        <f>MAX((E5+E16),0)</f>
        <v>2927.5292949501318</v>
      </c>
      <c r="F18" s="21">
        <f>MAX((F5+F16),0)</f>
        <v>12080.426506858743</v>
      </c>
      <c r="G18" s="21"/>
      <c r="H18" s="21"/>
      <c r="I18" s="21"/>
      <c r="J18" s="21">
        <f>MAX((J5+J16),0)</f>
        <v>255.54070153513013</v>
      </c>
      <c r="K18" s="21"/>
      <c r="L18" s="21">
        <f>MAX((L5+L16),0)</f>
        <v>0</v>
      </c>
      <c r="M18" s="21"/>
      <c r="N18" s="21">
        <f>MAX((N5+N16),0)</f>
        <v>9163.8303972266185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0.1934753256325461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8124.681908500238</v>
      </c>
      <c r="C22" s="23">
        <f ca="1">C18*C20</f>
        <v>0</v>
      </c>
      <c r="D22" s="23">
        <f>D18*D20</f>
        <v>4847.4509682307134</v>
      </c>
      <c r="E22" s="23">
        <f>E18*E20</f>
        <v>664.54914995367994</v>
      </c>
      <c r="F22" s="23">
        <f>F18*F20</f>
        <v>3225.4738773312847</v>
      </c>
      <c r="G22" s="23"/>
      <c r="H22" s="23"/>
      <c r="I22" s="23"/>
      <c r="J22" s="23">
        <f>J18*J20</f>
        <v>90.461408343436062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1666.8976207999999</v>
      </c>
      <c r="C30" s="39">
        <f>IF(ISERROR(B30*3.6/1000000/'E Balans VL '!Z18*100),0,B30*3.6/1000000/'E Balans VL '!Z18*100)</f>
        <v>0.35317986850440708</v>
      </c>
      <c r="D30" s="237" t="s">
        <v>660</v>
      </c>
    </row>
    <row r="31" spans="1:18">
      <c r="A31" s="6" t="s">
        <v>33</v>
      </c>
      <c r="B31" s="37">
        <f>IF( ISERROR(IND_ander_ele_kWh/1000),0,IND_ander_ele_kWh/1000)</f>
        <v>4214.6409820999997</v>
      </c>
      <c r="C31" s="39">
        <f>IF(ISERROR(B31*3.6/1000000/'E Balans VL '!Z19*100),0,B31*3.6/1000000/'E Balans VL '!Z19*100)</f>
        <v>0.17740380897492863</v>
      </c>
      <c r="D31" s="237" t="s">
        <v>660</v>
      </c>
    </row>
    <row r="32" spans="1:18">
      <c r="A32" s="171" t="s">
        <v>41</v>
      </c>
      <c r="B32" s="37">
        <f>IF( ISERROR(IND_voed_ele_kWh/1000),0,IND_voed_ele_kWh/1000)</f>
        <v>3767.9731726</v>
      </c>
      <c r="C32" s="39">
        <f>IF(ISERROR(B32*3.6/1000000/'E Balans VL '!Z20*100),0,B32*3.6/1000000/'E Balans VL '!Z20*100)</f>
        <v>0.62948255016721255</v>
      </c>
      <c r="D32" s="237" t="s">
        <v>660</v>
      </c>
    </row>
    <row r="33" spans="1:5">
      <c r="A33" s="171" t="s">
        <v>40</v>
      </c>
      <c r="B33" s="37">
        <f>IF( ISERROR(IND_textiel_ele_kWh/1000),0,IND_textiel_ele_kWh/1000)</f>
        <v>943.07934563000003</v>
      </c>
      <c r="C33" s="39">
        <f>IF(ISERROR(B33*3.6/1000000/'E Balans VL '!Z21*100),0,B33*3.6/1000000/'E Balans VL '!Z21*100)</f>
        <v>5.5059794378744455E-2</v>
      </c>
      <c r="D33" s="237" t="s">
        <v>660</v>
      </c>
    </row>
    <row r="34" spans="1:5">
      <c r="A34" s="171" t="s">
        <v>37</v>
      </c>
      <c r="B34" s="37">
        <f>IF( ISERROR(IND_min_ele_kWh/1000),0,IND_min_ele_kWh/1000)</f>
        <v>249.06360916</v>
      </c>
      <c r="C34" s="39">
        <f>IF(ISERROR(B34*3.6/1000000/'E Balans VL '!Z22*100),0,B34*3.6/1000000/'E Balans VL '!Z22*100)</f>
        <v>3.1570155657107121E-2</v>
      </c>
      <c r="D34" s="237" t="s">
        <v>660</v>
      </c>
    </row>
    <row r="35" spans="1:5">
      <c r="A35" s="171" t="s">
        <v>39</v>
      </c>
      <c r="B35" s="37">
        <f>IF( ISERROR(IND_papier_ele_kWh/1000),0,IND_papier_ele_kWh/1000)</f>
        <v>45.887872543999997</v>
      </c>
      <c r="C35" s="39">
        <f>IF(ISERROR(B35*3.6/1000000/'E Balans VL '!Z22*100),0,B35*3.6/1000000/'E Balans VL '!Z22*100)</f>
        <v>5.8165353175177285E-3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31105.832427999998</v>
      </c>
      <c r="C37" s="39">
        <f>IF(ISERROR(B37*3.6/1000000/'E Balans VL '!Z15*100),0,B37*3.6/1000000/'E Balans VL '!Z15*100)</f>
        <v>0.25112942992161519</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1342.9681037340001</v>
      </c>
      <c r="C5" s="17">
        <f>'Eigen informatie GS &amp; warmtenet'!B60</f>
        <v>0</v>
      </c>
      <c r="D5" s="30">
        <f>IF(ISERROR(SUM(LB_lb_gas_kWh,LB_rest_gas_kWh,onbekend_gas_kWh)/1000),0,SUM(LB_lb_gas_kWh,LB_rest_gas_kWh,onbekend_gas_kWh)/1000)*0.902</f>
        <v>5496.9949699001045</v>
      </c>
      <c r="E5" s="17">
        <f>B17*'E Balans VL '!I25/3.6*1000000/100</f>
        <v>34.629990993937611</v>
      </c>
      <c r="F5" s="17">
        <f>B17*('E Balans VL '!L25/3.6*1000000+'E Balans VL '!N25/3.6*1000000)/100</f>
        <v>4908.804174999239</v>
      </c>
      <c r="G5" s="18"/>
      <c r="H5" s="17"/>
      <c r="I5" s="17"/>
      <c r="J5" s="17">
        <f>('E Balans VL '!D25+'E Balans VL '!E25)/3.6*1000000*landbouw!B17/100</f>
        <v>193.33800363060251</v>
      </c>
      <c r="K5" s="17"/>
      <c r="L5" s="17">
        <f>L6*(-1)</f>
        <v>0</v>
      </c>
      <c r="M5" s="17"/>
      <c r="N5" s="17">
        <f>N6*(-1)</f>
        <v>124.71428571428569</v>
      </c>
      <c r="O5" s="17"/>
      <c r="P5" s="17"/>
      <c r="R5" s="32"/>
    </row>
    <row r="6" spans="1:18">
      <c r="A6" s="16" t="s">
        <v>491</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1342.9681037340001</v>
      </c>
      <c r="C8" s="21">
        <f>C5+C6</f>
        <v>62.357142857142847</v>
      </c>
      <c r="D8" s="21">
        <f>MAX((D5+D6),0)</f>
        <v>5496.9949699001045</v>
      </c>
      <c r="E8" s="21">
        <f>MAX((E5+E6),0)</f>
        <v>34.629990993937611</v>
      </c>
      <c r="F8" s="21">
        <f>MAX((F5+F6),0)</f>
        <v>4908.804174999239</v>
      </c>
      <c r="G8" s="21"/>
      <c r="H8" s="21"/>
      <c r="I8" s="21"/>
      <c r="J8" s="21">
        <f>MAX((J5+J6),0)</f>
        <v>193.33800363060251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0.1934753256325461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259.83119118405864</v>
      </c>
      <c r="C12" s="23">
        <f ca="1">C8*C10</f>
        <v>0</v>
      </c>
      <c r="D12" s="23">
        <f>D8*D10</f>
        <v>1110.3929839198211</v>
      </c>
      <c r="E12" s="23">
        <f>E8*E10</f>
        <v>7.8610079556238377</v>
      </c>
      <c r="F12" s="23">
        <f>F8*F10</f>
        <v>1310.6507147247969</v>
      </c>
      <c r="G12" s="23"/>
      <c r="H12" s="23"/>
      <c r="I12" s="23"/>
      <c r="J12" s="23">
        <f>J8*J10</f>
        <v>68.441653285233286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0.18936739824774779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373.58539119257523</v>
      </c>
      <c r="C26" s="247">
        <f>B26*'GWP N2O_CH4'!B5</f>
        <v>7845.2932150440802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125.37110258052121</v>
      </c>
      <c r="C27" s="247">
        <f>B27*'GWP N2O_CH4'!B5</f>
        <v>2632.7931541909456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5.093069479688177</v>
      </c>
      <c r="C28" s="247">
        <f>B28*'GWP N2O_CH4'!B4</f>
        <v>1578.8515387033349</v>
      </c>
      <c r="D28" s="50"/>
    </row>
    <row r="29" spans="1:4">
      <c r="A29" s="41" t="s">
        <v>277</v>
      </c>
      <c r="B29" s="247">
        <f>B34*'ha_N2O bodem landbouw'!B4</f>
        <v>12.14858992492845</v>
      </c>
      <c r="C29" s="247">
        <f>B29*'GWP N2O_CH4'!B4</f>
        <v>3766.0628767278195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2.7340929066894718E-3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2.5494465583503803E-4</v>
      </c>
      <c r="C5" s="463" t="s">
        <v>211</v>
      </c>
      <c r="D5" s="448">
        <f>SUM(D6:D11)</f>
        <v>6.1520231535220769E-4</v>
      </c>
      <c r="E5" s="448">
        <f>SUM(E6:E11)</f>
        <v>2.5654591388424826E-3</v>
      </c>
      <c r="F5" s="461" t="s">
        <v>211</v>
      </c>
      <c r="G5" s="448">
        <f>SUM(G6:G11)</f>
        <v>1.0054371585284581</v>
      </c>
      <c r="H5" s="448">
        <f>SUM(H6:H11)</f>
        <v>0.16731182346571044</v>
      </c>
      <c r="I5" s="463" t="s">
        <v>211</v>
      </c>
      <c r="J5" s="463" t="s">
        <v>211</v>
      </c>
      <c r="K5" s="463" t="s">
        <v>211</v>
      </c>
      <c r="L5" s="463" t="s">
        <v>211</v>
      </c>
      <c r="M5" s="448">
        <f>SUM(M6:M11)</f>
        <v>3.6688265983789971E-2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8.5341397237447914E-5</v>
      </c>
      <c r="C6" s="449"/>
      <c r="D6" s="962">
        <f>vkm_2011_GW_PW*SUMIFS(TableVerdeelsleutelVkm[CNG],TableVerdeelsleutelVkm[Voertuigtype],"Lichte voertuigen")*SUMIFS(TableECFTransport[EnergieConsumptieFactor (PJ per km)],TableECFTransport[Index],CONCATENATE($A6,"_CNG_CNG"))</f>
        <v>1.6957485119633469E-4</v>
      </c>
      <c r="E6" s="962">
        <f>vkm_2011_GW_PW*SUMIFS(TableVerdeelsleutelVkm[LPG],TableVerdeelsleutelVkm[Voertuigtype],"Lichte voertuigen")*SUMIFS(TableECFTransport[EnergieConsumptieFactor (PJ per km)],TableECFTransport[Index],CONCATENATE($A6,"_LPG_LPG"))</f>
        <v>6.6733782748478886E-4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0.1586700376798183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4.5909013765461588E-2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6.3748721540931169E-3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0.10324032884029208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3.335103597200373E-5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3.2529447962014141E-3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6.4551093049537489E-5</v>
      </c>
      <c r="C8" s="449"/>
      <c r="D8" s="451">
        <f>vkm_2011_NGW_PW*SUMIFS(TableVerdeelsleutelVkm[CNG],TableVerdeelsleutelVkm[Voertuigtype],"Lichte voertuigen")*SUMIFS(TableECFTransport[EnergieConsumptieFactor (PJ per km)],TableECFTransport[Index],CONCATENATE($A8,"_CNG_CNG"))</f>
        <v>2.271090247367703E-4</v>
      </c>
      <c r="E8" s="451">
        <f>vkm_2011_NGW_PW*SUMIFS(TableVerdeelsleutelVkm[LPG],TableVerdeelsleutelVkm[Voertuigtype],"Lichte voertuigen")*SUMIFS(TableECFTransport[EnergieConsumptieFactor (PJ per km)],TableECFTransport[Index],CONCATENATE($A8,"_LPG_LPG"))</f>
        <v>8.2656587285635677E-4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0.18352085938675355</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5.9619444626044509E-2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7.568862788127656E-3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4.4052232502734004E-2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1.3458330553105623E-5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1.3879952754620275E-3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1.0505216554805264E-4</v>
      </c>
      <c r="C10" s="449"/>
      <c r="D10" s="451">
        <f>vkm_2011_SW_PW*SUMIFS(TableVerdeelsleutelVkm[CNG],TableVerdeelsleutelVkm[Voertuigtype],"Lichte voertuigen")*SUMIFS(TableECFTransport[EnergieConsumptieFactor (PJ per km)],TableECFTransport[Index],CONCATENATE($A10,"_CNG_CNG"))</f>
        <v>2.1851843941910265E-4</v>
      </c>
      <c r="E10" s="451">
        <f>vkm_2011_SW_PW*SUMIFS(TableVerdeelsleutelVkm[LPG],TableVerdeelsleutelVkm[Voertuigtype],"Lichte voertuigen")*SUMIFS(TableECFTransport[EnergieConsumptieFactor (PJ per km)],TableECFTransport[Index],CONCATENATE($A10,"_LPG_LPG"))</f>
        <v>1.0715554385013371E-3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0.22822900520442252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6.1636410684839958E-2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9.0376101928804284E-3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0.28772469491443764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1.0014502283926935E-4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9.0659807770253256E-3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70.817959954177226</v>
      </c>
      <c r="C14" s="21"/>
      <c r="D14" s="21">
        <f t="shared" ref="D14:M14" si="0">((D5)*10^9/3600)+D12</f>
        <v>170.88953204227994</v>
      </c>
      <c r="E14" s="21">
        <f t="shared" si="0"/>
        <v>712.62753856735628</v>
      </c>
      <c r="F14" s="21"/>
      <c r="G14" s="21">
        <f t="shared" si="0"/>
        <v>279288.09959123831</v>
      </c>
      <c r="H14" s="21">
        <f t="shared" si="0"/>
        <v>46475.5065182529</v>
      </c>
      <c r="I14" s="21"/>
      <c r="J14" s="21"/>
      <c r="K14" s="21"/>
      <c r="L14" s="21"/>
      <c r="M14" s="21">
        <f t="shared" si="0"/>
        <v>10191.184995497215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0.1934753256325461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13.701527862767049</v>
      </c>
      <c r="C18" s="23"/>
      <c r="D18" s="23">
        <f t="shared" ref="D18:M18" si="1">D14*D16</f>
        <v>34.519685472540552</v>
      </c>
      <c r="E18" s="23">
        <f t="shared" si="1"/>
        <v>161.76645125478987</v>
      </c>
      <c r="F18" s="23"/>
      <c r="G18" s="23">
        <f t="shared" si="1"/>
        <v>74569.922590860631</v>
      </c>
      <c r="H18" s="23">
        <f t="shared" si="1"/>
        <v>11572.401123044972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8.4485989877941692E-3</v>
      </c>
      <c r="H50" s="321">
        <f t="shared" si="2"/>
        <v>0</v>
      </c>
      <c r="I50" s="321">
        <f t="shared" si="2"/>
        <v>0</v>
      </c>
      <c r="J50" s="321">
        <f t="shared" si="2"/>
        <v>0</v>
      </c>
      <c r="K50" s="321">
        <f t="shared" si="2"/>
        <v>0</v>
      </c>
      <c r="L50" s="321">
        <f t="shared" si="2"/>
        <v>0</v>
      </c>
      <c r="M50" s="321">
        <f t="shared" si="2"/>
        <v>2.620566395470498E-4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8.4485989877941692E-3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2.620566395470498E-4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2346.8330521650473</v>
      </c>
      <c r="H54" s="21">
        <f t="shared" si="3"/>
        <v>0</v>
      </c>
      <c r="I54" s="21">
        <f t="shared" si="3"/>
        <v>0</v>
      </c>
      <c r="J54" s="21">
        <f t="shared" si="3"/>
        <v>0</v>
      </c>
      <c r="K54" s="21">
        <f t="shared" si="3"/>
        <v>0</v>
      </c>
      <c r="L54" s="21">
        <f t="shared" si="3"/>
        <v>0</v>
      </c>
      <c r="M54" s="21">
        <f t="shared" si="3"/>
        <v>72.793510985291604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0.1934753256325461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626.60442492806771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16695.012957671141</v>
      </c>
      <c r="C6" s="1203"/>
      <c r="D6" s="1188"/>
      <c r="E6" s="1188"/>
      <c r="F6" s="1206"/>
      <c r="G6" s="1209"/>
      <c r="H6" s="1200"/>
      <c r="I6" s="1188"/>
      <c r="J6" s="1188"/>
      <c r="K6" s="1188"/>
      <c r="L6" s="1192"/>
      <c r="M6" s="575"/>
      <c r="N6" s="1166"/>
      <c r="O6" s="1167"/>
      <c r="Q6" s="573"/>
      <c r="R6" s="1154"/>
      <c r="S6" s="115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16738.662957671142</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46025</v>
      </c>
      <c r="C27" s="851">
        <v>9140</v>
      </c>
      <c r="D27" s="672" t="s">
        <v>818</v>
      </c>
      <c r="E27" s="671" t="s">
        <v>819</v>
      </c>
      <c r="F27" s="671" t="s">
        <v>820</v>
      </c>
      <c r="G27" s="671" t="s">
        <v>821</v>
      </c>
      <c r="H27" s="671" t="s">
        <v>822</v>
      </c>
      <c r="I27" s="671" t="s">
        <v>819</v>
      </c>
      <c r="J27" s="850">
        <v>41158</v>
      </c>
      <c r="K27" s="850">
        <v>41275</v>
      </c>
      <c r="L27" s="671" t="s">
        <v>823</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41429.543831859992</v>
      </c>
      <c r="D10" s="718">
        <f ca="1">tertiair!C16</f>
        <v>0</v>
      </c>
      <c r="E10" s="718">
        <f ca="1">tertiair!D16</f>
        <v>44001.123015185593</v>
      </c>
      <c r="F10" s="718">
        <f>tertiair!E16</f>
        <v>786.54956462817745</v>
      </c>
      <c r="G10" s="718">
        <f ca="1">tertiair!F16</f>
        <v>9627.761062846821</v>
      </c>
      <c r="H10" s="718">
        <f>tertiair!G16</f>
        <v>0</v>
      </c>
      <c r="I10" s="718">
        <f>tertiair!H16</f>
        <v>0</v>
      </c>
      <c r="J10" s="718">
        <f>tertiair!I16</f>
        <v>0</v>
      </c>
      <c r="K10" s="718">
        <f>tertiair!J16</f>
        <v>0</v>
      </c>
      <c r="L10" s="718">
        <f>tertiair!K16</f>
        <v>0</v>
      </c>
      <c r="M10" s="718">
        <f ca="1">tertiair!L16</f>
        <v>0</v>
      </c>
      <c r="N10" s="718">
        <f>tertiair!M16</f>
        <v>0</v>
      </c>
      <c r="O10" s="718">
        <f ca="1">tertiair!N16</f>
        <v>3581.0082475010722</v>
      </c>
      <c r="P10" s="718">
        <f>tertiair!O16</f>
        <v>4.6900000000000004</v>
      </c>
      <c r="Q10" s="719">
        <f>tertiair!P16</f>
        <v>38.133333333333333</v>
      </c>
      <c r="R10" s="721">
        <f ca="1">SUM(C10:Q10)</f>
        <v>99468.809055354999</v>
      </c>
      <c r="S10" s="67"/>
    </row>
    <row r="11" spans="1:19" s="474" customFormat="1">
      <c r="A11" s="870" t="s">
        <v>225</v>
      </c>
      <c r="B11" s="875"/>
      <c r="C11" s="718">
        <f>huishoudens!B8</f>
        <v>49560.689362846315</v>
      </c>
      <c r="D11" s="718">
        <f>huishoudens!C8</f>
        <v>0</v>
      </c>
      <c r="E11" s="718">
        <f>huishoudens!D8</f>
        <v>114801.21148275999</v>
      </c>
      <c r="F11" s="718">
        <f>huishoudens!E8</f>
        <v>6118.7241523534094</v>
      </c>
      <c r="G11" s="718">
        <f>huishoudens!F8</f>
        <v>0</v>
      </c>
      <c r="H11" s="718">
        <f>huishoudens!G8</f>
        <v>0</v>
      </c>
      <c r="I11" s="718">
        <f>huishoudens!H8</f>
        <v>0</v>
      </c>
      <c r="J11" s="718">
        <f>huishoudens!I8</f>
        <v>0</v>
      </c>
      <c r="K11" s="718">
        <f>huishoudens!J8</f>
        <v>2330.8798831054378</v>
      </c>
      <c r="L11" s="718">
        <f>huishoudens!K8</f>
        <v>0</v>
      </c>
      <c r="M11" s="718">
        <f>huishoudens!L8</f>
        <v>0</v>
      </c>
      <c r="N11" s="718">
        <f>huishoudens!M8</f>
        <v>0</v>
      </c>
      <c r="O11" s="718">
        <f>huishoudens!N8</f>
        <v>21441.691680988493</v>
      </c>
      <c r="P11" s="718">
        <f>huishoudens!O8</f>
        <v>292.34333333333331</v>
      </c>
      <c r="Q11" s="719">
        <f>huishoudens!P8</f>
        <v>1105.8666666666668</v>
      </c>
      <c r="R11" s="721">
        <f>SUM(C11:Q11)</f>
        <v>195651.40656205363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41993.375030833995</v>
      </c>
      <c r="D13" s="718">
        <f>industrie!C18</f>
        <v>0</v>
      </c>
      <c r="E13" s="718">
        <f>industrie!D18</f>
        <v>23997.282020944123</v>
      </c>
      <c r="F13" s="718">
        <f>industrie!E18</f>
        <v>2927.5292949501318</v>
      </c>
      <c r="G13" s="718">
        <f>industrie!F18</f>
        <v>12080.426506858743</v>
      </c>
      <c r="H13" s="718">
        <f>industrie!G18</f>
        <v>0</v>
      </c>
      <c r="I13" s="718">
        <f>industrie!H18</f>
        <v>0</v>
      </c>
      <c r="J13" s="718">
        <f>industrie!I18</f>
        <v>0</v>
      </c>
      <c r="K13" s="718">
        <f>industrie!J18</f>
        <v>255.54070153513013</v>
      </c>
      <c r="L13" s="718">
        <f>industrie!K18</f>
        <v>0</v>
      </c>
      <c r="M13" s="718">
        <f>industrie!L18</f>
        <v>0</v>
      </c>
      <c r="N13" s="718">
        <f>industrie!M18</f>
        <v>0</v>
      </c>
      <c r="O13" s="718">
        <f>industrie!N18</f>
        <v>9163.8303972266185</v>
      </c>
      <c r="P13" s="718">
        <f>industrie!O18</f>
        <v>0</v>
      </c>
      <c r="Q13" s="719">
        <f>industrie!P18</f>
        <v>0</v>
      </c>
      <c r="R13" s="721">
        <f>SUM(C13:Q13)</f>
        <v>90417.983952348732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132983.60822554032</v>
      </c>
      <c r="D15" s="723">
        <f t="shared" ref="D15:Q15" ca="1" si="0">SUM(D9:D14)</f>
        <v>0</v>
      </c>
      <c r="E15" s="723">
        <f t="shared" ca="1" si="0"/>
        <v>182799.6165188897</v>
      </c>
      <c r="F15" s="723">
        <f t="shared" si="0"/>
        <v>9832.8030119317191</v>
      </c>
      <c r="G15" s="723">
        <f t="shared" ca="1" si="0"/>
        <v>21708.187569705566</v>
      </c>
      <c r="H15" s="723">
        <f t="shared" si="0"/>
        <v>0</v>
      </c>
      <c r="I15" s="723">
        <f t="shared" si="0"/>
        <v>0</v>
      </c>
      <c r="J15" s="723">
        <f t="shared" si="0"/>
        <v>0</v>
      </c>
      <c r="K15" s="723">
        <f t="shared" si="0"/>
        <v>2586.420584640568</v>
      </c>
      <c r="L15" s="723">
        <f t="shared" si="0"/>
        <v>0</v>
      </c>
      <c r="M15" s="723">
        <f t="shared" ca="1" si="0"/>
        <v>0</v>
      </c>
      <c r="N15" s="723">
        <f t="shared" si="0"/>
        <v>0</v>
      </c>
      <c r="O15" s="723">
        <f t="shared" ca="1" si="0"/>
        <v>34186.530325716187</v>
      </c>
      <c r="P15" s="723">
        <f t="shared" si="0"/>
        <v>297.0333333333333</v>
      </c>
      <c r="Q15" s="724">
        <f t="shared" si="0"/>
        <v>1144.0000000000002</v>
      </c>
      <c r="R15" s="725">
        <f ca="1">SUM(R9:R14)</f>
        <v>385538.19956975733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2346.8330521650473</v>
      </c>
      <c r="I18" s="718">
        <f>transport!H54</f>
        <v>0</v>
      </c>
      <c r="J18" s="718">
        <f>transport!I54</f>
        <v>0</v>
      </c>
      <c r="K18" s="718">
        <f>transport!J54</f>
        <v>0</v>
      </c>
      <c r="L18" s="718">
        <f>transport!K54</f>
        <v>0</v>
      </c>
      <c r="M18" s="718">
        <f>transport!L54</f>
        <v>0</v>
      </c>
      <c r="N18" s="718">
        <f>transport!M54</f>
        <v>72.793510985291604</v>
      </c>
      <c r="O18" s="718">
        <f>transport!N54</f>
        <v>0</v>
      </c>
      <c r="P18" s="718">
        <f>transport!O54</f>
        <v>0</v>
      </c>
      <c r="Q18" s="719">
        <f>transport!P54</f>
        <v>0</v>
      </c>
      <c r="R18" s="721">
        <f>SUM(C18:Q18)</f>
        <v>2419.6265631503388</v>
      </c>
      <c r="S18" s="67"/>
    </row>
    <row r="19" spans="1:19" s="474" customFormat="1" ht="15" thickBot="1">
      <c r="A19" s="870" t="s">
        <v>307</v>
      </c>
      <c r="B19" s="875"/>
      <c r="C19" s="727">
        <f>transport!B14</f>
        <v>70.817959954177226</v>
      </c>
      <c r="D19" s="727">
        <f>transport!C14</f>
        <v>0</v>
      </c>
      <c r="E19" s="727">
        <f>transport!D14</f>
        <v>170.88953204227994</v>
      </c>
      <c r="F19" s="727">
        <f>transport!E14</f>
        <v>712.62753856735628</v>
      </c>
      <c r="G19" s="727">
        <f>transport!F14</f>
        <v>0</v>
      </c>
      <c r="H19" s="727">
        <f>transport!G14</f>
        <v>279288.09959123831</v>
      </c>
      <c r="I19" s="727">
        <f>transport!H14</f>
        <v>46475.5065182529</v>
      </c>
      <c r="J19" s="727">
        <f>transport!I14</f>
        <v>0</v>
      </c>
      <c r="K19" s="727">
        <f>transport!J14</f>
        <v>0</v>
      </c>
      <c r="L19" s="727">
        <f>transport!K14</f>
        <v>0</v>
      </c>
      <c r="M19" s="727">
        <f>transport!L14</f>
        <v>0</v>
      </c>
      <c r="N19" s="727">
        <f>transport!M14</f>
        <v>10191.184995497215</v>
      </c>
      <c r="O19" s="727">
        <f>transport!N14</f>
        <v>0</v>
      </c>
      <c r="P19" s="727">
        <f>transport!O14</f>
        <v>0</v>
      </c>
      <c r="Q19" s="728">
        <f>transport!P14</f>
        <v>0</v>
      </c>
      <c r="R19" s="729">
        <f>SUM(C19:Q19)</f>
        <v>336909.12613555224</v>
      </c>
      <c r="S19" s="67"/>
    </row>
    <row r="20" spans="1:19" s="474" customFormat="1" ht="15.75" thickBot="1">
      <c r="A20" s="730" t="s">
        <v>230</v>
      </c>
      <c r="B20" s="878"/>
      <c r="C20" s="873">
        <f>SUM(C17:C19)</f>
        <v>70.817959954177226</v>
      </c>
      <c r="D20" s="731">
        <f t="shared" ref="D20:R20" si="1">SUM(D17:D19)</f>
        <v>0</v>
      </c>
      <c r="E20" s="731">
        <f t="shared" si="1"/>
        <v>170.88953204227994</v>
      </c>
      <c r="F20" s="731">
        <f t="shared" si="1"/>
        <v>712.62753856735628</v>
      </c>
      <c r="G20" s="731">
        <f t="shared" si="1"/>
        <v>0</v>
      </c>
      <c r="H20" s="731">
        <f t="shared" si="1"/>
        <v>281634.93264340336</v>
      </c>
      <c r="I20" s="731">
        <f t="shared" si="1"/>
        <v>46475.5065182529</v>
      </c>
      <c r="J20" s="731">
        <f t="shared" si="1"/>
        <v>0</v>
      </c>
      <c r="K20" s="731">
        <f t="shared" si="1"/>
        <v>0</v>
      </c>
      <c r="L20" s="731">
        <f t="shared" si="1"/>
        <v>0</v>
      </c>
      <c r="M20" s="731">
        <f t="shared" si="1"/>
        <v>0</v>
      </c>
      <c r="N20" s="731">
        <f t="shared" si="1"/>
        <v>10263.978506482506</v>
      </c>
      <c r="O20" s="731">
        <f t="shared" si="1"/>
        <v>0</v>
      </c>
      <c r="P20" s="731">
        <f t="shared" si="1"/>
        <v>0</v>
      </c>
      <c r="Q20" s="732">
        <f t="shared" si="1"/>
        <v>0</v>
      </c>
      <c r="R20" s="733">
        <f t="shared" si="1"/>
        <v>339328.75269870256</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1342.9681037340001</v>
      </c>
      <c r="D22" s="727">
        <f>+landbouw!C8</f>
        <v>62.357142857142847</v>
      </c>
      <c r="E22" s="727">
        <f>+landbouw!D8</f>
        <v>5496.9949699001045</v>
      </c>
      <c r="F22" s="727">
        <f>+landbouw!E8</f>
        <v>34.629990993937611</v>
      </c>
      <c r="G22" s="727">
        <f>+landbouw!F8</f>
        <v>4908.804174999239</v>
      </c>
      <c r="H22" s="727">
        <f>+landbouw!G8</f>
        <v>0</v>
      </c>
      <c r="I22" s="727">
        <f>+landbouw!H8</f>
        <v>0</v>
      </c>
      <c r="J22" s="727">
        <f>+landbouw!I8</f>
        <v>0</v>
      </c>
      <c r="K22" s="727">
        <f>+landbouw!J8</f>
        <v>193.33800363060251</v>
      </c>
      <c r="L22" s="727">
        <f>+landbouw!K8</f>
        <v>0</v>
      </c>
      <c r="M22" s="727">
        <f>+landbouw!L8</f>
        <v>0</v>
      </c>
      <c r="N22" s="727">
        <f>+landbouw!M8</f>
        <v>0</v>
      </c>
      <c r="O22" s="727">
        <f>+landbouw!N8</f>
        <v>0</v>
      </c>
      <c r="P22" s="727">
        <f>+landbouw!O8</f>
        <v>0</v>
      </c>
      <c r="Q22" s="728">
        <f>+landbouw!P8</f>
        <v>0</v>
      </c>
      <c r="R22" s="729">
        <f>SUM(C22:Q22)</f>
        <v>12039.092386115028</v>
      </c>
      <c r="S22" s="67"/>
    </row>
    <row r="23" spans="1:19" s="474" customFormat="1" ht="17.25" thickTop="1" thickBot="1">
      <c r="A23" s="734" t="s">
        <v>116</v>
      </c>
      <c r="B23" s="864"/>
      <c r="C23" s="735">
        <f ca="1">C20+C15+C22</f>
        <v>134397.39428922848</v>
      </c>
      <c r="D23" s="735">
        <f t="shared" ref="D23:Q23" ca="1" si="2">D20+D15+D22</f>
        <v>62.357142857142847</v>
      </c>
      <c r="E23" s="735">
        <f t="shared" ca="1" si="2"/>
        <v>188467.5010208321</v>
      </c>
      <c r="F23" s="735">
        <f t="shared" si="2"/>
        <v>10580.060541493012</v>
      </c>
      <c r="G23" s="735">
        <f t="shared" ca="1" si="2"/>
        <v>26616.991744704806</v>
      </c>
      <c r="H23" s="735">
        <f t="shared" si="2"/>
        <v>281634.93264340336</v>
      </c>
      <c r="I23" s="735">
        <f t="shared" si="2"/>
        <v>46475.5065182529</v>
      </c>
      <c r="J23" s="735">
        <f t="shared" si="2"/>
        <v>0</v>
      </c>
      <c r="K23" s="735">
        <f t="shared" si="2"/>
        <v>2779.7585882711705</v>
      </c>
      <c r="L23" s="735">
        <f t="shared" si="2"/>
        <v>0</v>
      </c>
      <c r="M23" s="735">
        <f t="shared" ca="1" si="2"/>
        <v>0</v>
      </c>
      <c r="N23" s="735">
        <f t="shared" si="2"/>
        <v>10263.978506482506</v>
      </c>
      <c r="O23" s="735">
        <f t="shared" ca="1" si="2"/>
        <v>34186.530325716187</v>
      </c>
      <c r="P23" s="735">
        <f t="shared" si="2"/>
        <v>297.0333333333333</v>
      </c>
      <c r="Q23" s="736">
        <f t="shared" si="2"/>
        <v>1144.0000000000002</v>
      </c>
      <c r="R23" s="737">
        <f ca="1">R20+R15+R22</f>
        <v>736906.04465457483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8015.594483676954</v>
      </c>
      <c r="D36" s="718">
        <f ca="1">tertiair!C20</f>
        <v>0</v>
      </c>
      <c r="E36" s="718">
        <f ca="1">tertiair!D20</f>
        <v>8888.2268490674905</v>
      </c>
      <c r="F36" s="718">
        <f>tertiair!E20</f>
        <v>178.54675117059628</v>
      </c>
      <c r="G36" s="718">
        <f ca="1">tertiair!F20</f>
        <v>2570.6122037801015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19652.980287695143</v>
      </c>
    </row>
    <row r="37" spans="1:18">
      <c r="A37" s="885" t="s">
        <v>225</v>
      </c>
      <c r="B37" s="892"/>
      <c r="C37" s="718">
        <f ca="1">huishoudens!B12</f>
        <v>9588.7705130501545</v>
      </c>
      <c r="D37" s="718">
        <f ca="1">huishoudens!C12</f>
        <v>0</v>
      </c>
      <c r="E37" s="718">
        <f>huishoudens!D12</f>
        <v>23189.844719517518</v>
      </c>
      <c r="F37" s="718">
        <f>huishoudens!E12</f>
        <v>1388.9503825842239</v>
      </c>
      <c r="G37" s="718">
        <f>huishoudens!F12</f>
        <v>0</v>
      </c>
      <c r="H37" s="718">
        <f>huishoudens!G12</f>
        <v>0</v>
      </c>
      <c r="I37" s="718">
        <f>huishoudens!H12</f>
        <v>0</v>
      </c>
      <c r="J37" s="718">
        <f>huishoudens!I12</f>
        <v>0</v>
      </c>
      <c r="K37" s="718">
        <f>huishoudens!J12</f>
        <v>825.13147861932498</v>
      </c>
      <c r="L37" s="718">
        <f>huishoudens!K12</f>
        <v>0</v>
      </c>
      <c r="M37" s="718">
        <f>huishoudens!L12</f>
        <v>0</v>
      </c>
      <c r="N37" s="718">
        <f>huishoudens!M12</f>
        <v>0</v>
      </c>
      <c r="O37" s="718">
        <f>huishoudens!N12</f>
        <v>0</v>
      </c>
      <c r="P37" s="718">
        <f>huishoudens!O12</f>
        <v>0</v>
      </c>
      <c r="Q37" s="828">
        <f>huishoudens!P12</f>
        <v>0</v>
      </c>
      <c r="R37" s="917">
        <f ca="1">SUM(C37:Q37)</f>
        <v>34992.697093771225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8124.681908500238</v>
      </c>
      <c r="D39" s="718">
        <f ca="1">industrie!C22</f>
        <v>0</v>
      </c>
      <c r="E39" s="718">
        <f>industrie!D22</f>
        <v>4847.4509682307134</v>
      </c>
      <c r="F39" s="718">
        <f>industrie!E22</f>
        <v>664.54914995367994</v>
      </c>
      <c r="G39" s="718">
        <f>industrie!F22</f>
        <v>3225.4738773312847</v>
      </c>
      <c r="H39" s="718">
        <f>industrie!G22</f>
        <v>0</v>
      </c>
      <c r="I39" s="718">
        <f>industrie!H22</f>
        <v>0</v>
      </c>
      <c r="J39" s="718">
        <f>industrie!I22</f>
        <v>0</v>
      </c>
      <c r="K39" s="718">
        <f>industrie!J22</f>
        <v>90.461408343436062</v>
      </c>
      <c r="L39" s="718">
        <f>industrie!K22</f>
        <v>0</v>
      </c>
      <c r="M39" s="718">
        <f>industrie!L22</f>
        <v>0</v>
      </c>
      <c r="N39" s="718">
        <f>industrie!M22</f>
        <v>0</v>
      </c>
      <c r="O39" s="718">
        <f>industrie!N22</f>
        <v>0</v>
      </c>
      <c r="P39" s="718">
        <f>industrie!O22</f>
        <v>0</v>
      </c>
      <c r="Q39" s="828">
        <f>industrie!P22</f>
        <v>0</v>
      </c>
      <c r="R39" s="918">
        <f ca="1">SUM(C39:Q39)</f>
        <v>16952.617312359351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25729.046905227347</v>
      </c>
      <c r="D41" s="763">
        <f t="shared" ref="D41:R41" ca="1" si="4">SUM(D35:D40)</f>
        <v>0</v>
      </c>
      <c r="E41" s="763">
        <f t="shared" ca="1" si="4"/>
        <v>36925.522536815719</v>
      </c>
      <c r="F41" s="763">
        <f t="shared" si="4"/>
        <v>2232.0462837085001</v>
      </c>
      <c r="G41" s="763">
        <f t="shared" ca="1" si="4"/>
        <v>5796.0860811113862</v>
      </c>
      <c r="H41" s="763">
        <f t="shared" si="4"/>
        <v>0</v>
      </c>
      <c r="I41" s="763">
        <f t="shared" si="4"/>
        <v>0</v>
      </c>
      <c r="J41" s="763">
        <f t="shared" si="4"/>
        <v>0</v>
      </c>
      <c r="K41" s="763">
        <f t="shared" si="4"/>
        <v>915.59288696276099</v>
      </c>
      <c r="L41" s="763">
        <f t="shared" si="4"/>
        <v>0</v>
      </c>
      <c r="M41" s="763">
        <f t="shared" ca="1" si="4"/>
        <v>0</v>
      </c>
      <c r="N41" s="763">
        <f t="shared" si="4"/>
        <v>0</v>
      </c>
      <c r="O41" s="763">
        <f t="shared" ca="1" si="4"/>
        <v>0</v>
      </c>
      <c r="P41" s="763">
        <f t="shared" si="4"/>
        <v>0</v>
      </c>
      <c r="Q41" s="764">
        <f t="shared" si="4"/>
        <v>0</v>
      </c>
      <c r="R41" s="765">
        <f t="shared" ca="1" si="4"/>
        <v>71598.294693825723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626.60442492806771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626.60442492806771</v>
      </c>
    </row>
    <row r="45" spans="1:18" ht="15" thickBot="1">
      <c r="A45" s="888" t="s">
        <v>307</v>
      </c>
      <c r="B45" s="898"/>
      <c r="C45" s="727">
        <f ca="1">transport!B18</f>
        <v>13.701527862767049</v>
      </c>
      <c r="D45" s="727">
        <f>transport!C18</f>
        <v>0</v>
      </c>
      <c r="E45" s="727">
        <f>transport!D18</f>
        <v>34.519685472540552</v>
      </c>
      <c r="F45" s="727">
        <f>transport!E18</f>
        <v>161.76645125478987</v>
      </c>
      <c r="G45" s="727">
        <f>transport!F18</f>
        <v>0</v>
      </c>
      <c r="H45" s="727">
        <f>transport!G18</f>
        <v>74569.922590860631</v>
      </c>
      <c r="I45" s="727">
        <f>transport!H18</f>
        <v>11572.401123044972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86352.311378495695</v>
      </c>
    </row>
    <row r="46" spans="1:18" ht="15.75" thickBot="1">
      <c r="A46" s="886" t="s">
        <v>230</v>
      </c>
      <c r="B46" s="899"/>
      <c r="C46" s="763">
        <f t="shared" ref="C46:R46" ca="1" si="5">SUM(C43:C45)</f>
        <v>13.701527862767049</v>
      </c>
      <c r="D46" s="763">
        <f t="shared" ca="1" si="5"/>
        <v>0</v>
      </c>
      <c r="E46" s="763">
        <f t="shared" si="5"/>
        <v>34.519685472540552</v>
      </c>
      <c r="F46" s="763">
        <f t="shared" si="5"/>
        <v>161.76645125478987</v>
      </c>
      <c r="G46" s="763">
        <f t="shared" si="5"/>
        <v>0</v>
      </c>
      <c r="H46" s="763">
        <f t="shared" si="5"/>
        <v>75196.527015788699</v>
      </c>
      <c r="I46" s="763">
        <f t="shared" si="5"/>
        <v>11572.401123044972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86978.915803423763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259.83119118405864</v>
      </c>
      <c r="D48" s="718">
        <f ca="1">+landbouw!C12</f>
        <v>0</v>
      </c>
      <c r="E48" s="718">
        <f>+landbouw!D12</f>
        <v>1110.3929839198211</v>
      </c>
      <c r="F48" s="718">
        <f>+landbouw!E12</f>
        <v>7.8610079556238377</v>
      </c>
      <c r="G48" s="718">
        <f>+landbouw!F12</f>
        <v>1310.6507147247969</v>
      </c>
      <c r="H48" s="718">
        <f>+landbouw!G12</f>
        <v>0</v>
      </c>
      <c r="I48" s="718">
        <f>+landbouw!H12</f>
        <v>0</v>
      </c>
      <c r="J48" s="718">
        <f>+landbouw!I12</f>
        <v>0</v>
      </c>
      <c r="K48" s="718">
        <f>+landbouw!J12</f>
        <v>68.441653285233286</v>
      </c>
      <c r="L48" s="718">
        <f>+landbouw!K12</f>
        <v>0</v>
      </c>
      <c r="M48" s="718">
        <f>+landbouw!L12</f>
        <v>0</v>
      </c>
      <c r="N48" s="718">
        <f>+landbouw!M12</f>
        <v>0</v>
      </c>
      <c r="O48" s="718">
        <f>+landbouw!N12</f>
        <v>0</v>
      </c>
      <c r="P48" s="718">
        <f>+landbouw!O12</f>
        <v>0</v>
      </c>
      <c r="Q48" s="719">
        <f>+landbouw!P12</f>
        <v>0</v>
      </c>
      <c r="R48" s="761">
        <f ca="1">SUM(C48:Q48)</f>
        <v>2757.1775510695338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26002.579624274171</v>
      </c>
      <c r="D53" s="773">
        <f t="shared" ref="D53:Q53" ca="1" si="6">D41+D46+D48</f>
        <v>0</v>
      </c>
      <c r="E53" s="773">
        <f t="shared" ca="1" si="6"/>
        <v>38070.435206208087</v>
      </c>
      <c r="F53" s="773">
        <f t="shared" si="6"/>
        <v>2401.6737429189138</v>
      </c>
      <c r="G53" s="773">
        <f t="shared" ca="1" si="6"/>
        <v>7106.7367958361829</v>
      </c>
      <c r="H53" s="773">
        <f t="shared" si="6"/>
        <v>75196.527015788699</v>
      </c>
      <c r="I53" s="773">
        <f t="shared" si="6"/>
        <v>11572.401123044972</v>
      </c>
      <c r="J53" s="773">
        <f t="shared" si="6"/>
        <v>0</v>
      </c>
      <c r="K53" s="773">
        <f t="shared" si="6"/>
        <v>984.0345402479943</v>
      </c>
      <c r="L53" s="773">
        <f t="shared" si="6"/>
        <v>0</v>
      </c>
      <c r="M53" s="773">
        <f t="shared" ca="1" si="6"/>
        <v>0</v>
      </c>
      <c r="N53" s="773">
        <f t="shared" si="6"/>
        <v>0</v>
      </c>
      <c r="O53" s="773">
        <f t="shared" ca="1" si="6"/>
        <v>0</v>
      </c>
      <c r="P53" s="773">
        <f>P41+P46+P48</f>
        <v>0</v>
      </c>
      <c r="Q53" s="774">
        <f t="shared" si="6"/>
        <v>0</v>
      </c>
      <c r="R53" s="775">
        <f ca="1">R41+R46+R48</f>
        <v>161334.38804831903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0.19347532563254607</v>
      </c>
      <c r="D55" s="836">
        <f t="shared" ca="1" si="7"/>
        <v>0</v>
      </c>
      <c r="E55" s="836">
        <f t="shared" ca="1" si="7"/>
        <v>0.20200000000000001</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16695.012957671141</v>
      </c>
      <c r="C66" s="795">
        <f>'lokale energieproductie'!B6</f>
        <v>16695.012957671141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16738.662957671142</v>
      </c>
      <c r="C69" s="803">
        <f>SUM(C64:C68)</f>
        <v>16738.662957671142</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49560.689362846315</v>
      </c>
      <c r="C4" s="478">
        <f>huishoudens!C8</f>
        <v>0</v>
      </c>
      <c r="D4" s="478">
        <f>huishoudens!D8</f>
        <v>114801.21148275999</v>
      </c>
      <c r="E4" s="478">
        <f>huishoudens!E8</f>
        <v>6118.7241523534094</v>
      </c>
      <c r="F4" s="478">
        <f>huishoudens!F8</f>
        <v>0</v>
      </c>
      <c r="G4" s="478">
        <f>huishoudens!G8</f>
        <v>0</v>
      </c>
      <c r="H4" s="478">
        <f>huishoudens!H8</f>
        <v>0</v>
      </c>
      <c r="I4" s="478">
        <f>huishoudens!I8</f>
        <v>0</v>
      </c>
      <c r="J4" s="478">
        <f>huishoudens!J8</f>
        <v>2330.8798831054378</v>
      </c>
      <c r="K4" s="478">
        <f>huishoudens!K8</f>
        <v>0</v>
      </c>
      <c r="L4" s="478">
        <f>huishoudens!L8</f>
        <v>0</v>
      </c>
      <c r="M4" s="478">
        <f>huishoudens!M8</f>
        <v>0</v>
      </c>
      <c r="N4" s="478">
        <f>huishoudens!N8</f>
        <v>21441.691680988493</v>
      </c>
      <c r="O4" s="478">
        <f>huishoudens!O8</f>
        <v>292.34333333333331</v>
      </c>
      <c r="P4" s="479">
        <f>huishoudens!P8</f>
        <v>1105.8666666666668</v>
      </c>
      <c r="Q4" s="480">
        <f>SUM(B4:P4)</f>
        <v>195651.40656205363</v>
      </c>
    </row>
    <row r="5" spans="1:17">
      <c r="A5" s="477" t="s">
        <v>156</v>
      </c>
      <c r="B5" s="478">
        <f ca="1">tertiair!B16</f>
        <v>39813.397831859991</v>
      </c>
      <c r="C5" s="478">
        <f ca="1">tertiair!C16</f>
        <v>0</v>
      </c>
      <c r="D5" s="478">
        <f ca="1">tertiair!D16</f>
        <v>44001.123015185593</v>
      </c>
      <c r="E5" s="478">
        <f>tertiair!E16</f>
        <v>786.54956462817745</v>
      </c>
      <c r="F5" s="478">
        <f ca="1">tertiair!F16</f>
        <v>9627.761062846821</v>
      </c>
      <c r="G5" s="478">
        <f>tertiair!G16</f>
        <v>0</v>
      </c>
      <c r="H5" s="478">
        <f>tertiair!H16</f>
        <v>0</v>
      </c>
      <c r="I5" s="478">
        <f>tertiair!I16</f>
        <v>0</v>
      </c>
      <c r="J5" s="478">
        <f>tertiair!J16</f>
        <v>0</v>
      </c>
      <c r="K5" s="478">
        <f>tertiair!K16</f>
        <v>0</v>
      </c>
      <c r="L5" s="478">
        <f ca="1">tertiair!L16</f>
        <v>0</v>
      </c>
      <c r="M5" s="478">
        <f>tertiair!M16</f>
        <v>0</v>
      </c>
      <c r="N5" s="478">
        <f ca="1">tertiair!N16</f>
        <v>3581.0082475010722</v>
      </c>
      <c r="O5" s="478">
        <f>tertiair!O16</f>
        <v>4.6900000000000004</v>
      </c>
      <c r="P5" s="479">
        <f>tertiair!P16</f>
        <v>38.133333333333333</v>
      </c>
      <c r="Q5" s="477">
        <f t="shared" ref="Q5:Q13" ca="1" si="0">SUM(B5:P5)</f>
        <v>97852.663055354991</v>
      </c>
    </row>
    <row r="6" spans="1:17">
      <c r="A6" s="477" t="s">
        <v>194</v>
      </c>
      <c r="B6" s="478">
        <f>'openbare verlichting'!B8</f>
        <v>1616.146</v>
      </c>
      <c r="C6" s="478"/>
      <c r="D6" s="478"/>
      <c r="E6" s="478"/>
      <c r="F6" s="478"/>
      <c r="G6" s="478"/>
      <c r="H6" s="478"/>
      <c r="I6" s="478"/>
      <c r="J6" s="478"/>
      <c r="K6" s="478"/>
      <c r="L6" s="478"/>
      <c r="M6" s="478"/>
      <c r="N6" s="478"/>
      <c r="O6" s="478"/>
      <c r="P6" s="479"/>
      <c r="Q6" s="477">
        <f t="shared" si="0"/>
        <v>1616.146</v>
      </c>
    </row>
    <row r="7" spans="1:17">
      <c r="A7" s="477" t="s">
        <v>112</v>
      </c>
      <c r="B7" s="478">
        <f>landbouw!B8</f>
        <v>1342.9681037340001</v>
      </c>
      <c r="C7" s="478">
        <f>landbouw!C8</f>
        <v>62.357142857142847</v>
      </c>
      <c r="D7" s="478">
        <f>landbouw!D8</f>
        <v>5496.9949699001045</v>
      </c>
      <c r="E7" s="478">
        <f>landbouw!E8</f>
        <v>34.629990993937611</v>
      </c>
      <c r="F7" s="478">
        <f>landbouw!F8</f>
        <v>4908.804174999239</v>
      </c>
      <c r="G7" s="478">
        <f>landbouw!G8</f>
        <v>0</v>
      </c>
      <c r="H7" s="478">
        <f>landbouw!H8</f>
        <v>0</v>
      </c>
      <c r="I7" s="478">
        <f>landbouw!I8</f>
        <v>0</v>
      </c>
      <c r="J7" s="478">
        <f>landbouw!J8</f>
        <v>193.33800363060251</v>
      </c>
      <c r="K7" s="478">
        <f>landbouw!K8</f>
        <v>0</v>
      </c>
      <c r="L7" s="478">
        <f>landbouw!L8</f>
        <v>0</v>
      </c>
      <c r="M7" s="478">
        <f>landbouw!M8</f>
        <v>0</v>
      </c>
      <c r="N7" s="478">
        <f>landbouw!N8</f>
        <v>0</v>
      </c>
      <c r="O7" s="478">
        <f>landbouw!O8</f>
        <v>0</v>
      </c>
      <c r="P7" s="479">
        <f>landbouw!P8</f>
        <v>0</v>
      </c>
      <c r="Q7" s="477">
        <f t="shared" si="0"/>
        <v>12039.092386115028</v>
      </c>
    </row>
    <row r="8" spans="1:17">
      <c r="A8" s="477" t="s">
        <v>638</v>
      </c>
      <c r="B8" s="478">
        <f>industrie!B18</f>
        <v>41993.375030833995</v>
      </c>
      <c r="C8" s="478">
        <f>industrie!C18</f>
        <v>0</v>
      </c>
      <c r="D8" s="478">
        <f>industrie!D18</f>
        <v>23997.282020944123</v>
      </c>
      <c r="E8" s="478">
        <f>industrie!E18</f>
        <v>2927.5292949501318</v>
      </c>
      <c r="F8" s="478">
        <f>industrie!F18</f>
        <v>12080.426506858743</v>
      </c>
      <c r="G8" s="478">
        <f>industrie!G18</f>
        <v>0</v>
      </c>
      <c r="H8" s="478">
        <f>industrie!H18</f>
        <v>0</v>
      </c>
      <c r="I8" s="478">
        <f>industrie!I18</f>
        <v>0</v>
      </c>
      <c r="J8" s="478">
        <f>industrie!J18</f>
        <v>255.54070153513013</v>
      </c>
      <c r="K8" s="478">
        <f>industrie!K18</f>
        <v>0</v>
      </c>
      <c r="L8" s="478">
        <f>industrie!L18</f>
        <v>0</v>
      </c>
      <c r="M8" s="478">
        <f>industrie!M18</f>
        <v>0</v>
      </c>
      <c r="N8" s="478">
        <f>industrie!N18</f>
        <v>9163.8303972266185</v>
      </c>
      <c r="O8" s="478">
        <f>industrie!O18</f>
        <v>0</v>
      </c>
      <c r="P8" s="479">
        <f>industrie!P18</f>
        <v>0</v>
      </c>
      <c r="Q8" s="477">
        <f t="shared" si="0"/>
        <v>90417.983952348732</v>
      </c>
    </row>
    <row r="9" spans="1:17" s="483" customFormat="1">
      <c r="A9" s="481" t="s">
        <v>564</v>
      </c>
      <c r="B9" s="482">
        <f>transport!B14</f>
        <v>70.817959954177226</v>
      </c>
      <c r="C9" s="482">
        <f>transport!C14</f>
        <v>0</v>
      </c>
      <c r="D9" s="482">
        <f>transport!D14</f>
        <v>170.88953204227994</v>
      </c>
      <c r="E9" s="482">
        <f>transport!E14</f>
        <v>712.62753856735628</v>
      </c>
      <c r="F9" s="482">
        <f>transport!F14</f>
        <v>0</v>
      </c>
      <c r="G9" s="482">
        <f>transport!G14</f>
        <v>279288.09959123831</v>
      </c>
      <c r="H9" s="482">
        <f>transport!H14</f>
        <v>46475.5065182529</v>
      </c>
      <c r="I9" s="482">
        <f>transport!I14</f>
        <v>0</v>
      </c>
      <c r="J9" s="482">
        <f>transport!J14</f>
        <v>0</v>
      </c>
      <c r="K9" s="482">
        <f>transport!K14</f>
        <v>0</v>
      </c>
      <c r="L9" s="482">
        <f>transport!L14</f>
        <v>0</v>
      </c>
      <c r="M9" s="482">
        <f>transport!M14</f>
        <v>10191.184995497215</v>
      </c>
      <c r="N9" s="482">
        <f>transport!N14</f>
        <v>0</v>
      </c>
      <c r="O9" s="482">
        <f>transport!O14</f>
        <v>0</v>
      </c>
      <c r="P9" s="482">
        <f>transport!P14</f>
        <v>0</v>
      </c>
      <c r="Q9" s="481">
        <f>SUM(B9:P9)</f>
        <v>336909.12613555224</v>
      </c>
    </row>
    <row r="10" spans="1:17">
      <c r="A10" s="477" t="s">
        <v>554</v>
      </c>
      <c r="B10" s="478">
        <f>transport!B54</f>
        <v>0</v>
      </c>
      <c r="C10" s="478">
        <f>transport!C54</f>
        <v>0</v>
      </c>
      <c r="D10" s="478">
        <f>transport!D54</f>
        <v>0</v>
      </c>
      <c r="E10" s="478">
        <f>transport!E54</f>
        <v>0</v>
      </c>
      <c r="F10" s="478">
        <f>transport!F54</f>
        <v>0</v>
      </c>
      <c r="G10" s="478">
        <f>transport!G54</f>
        <v>2346.8330521650473</v>
      </c>
      <c r="H10" s="478">
        <f>transport!H54</f>
        <v>0</v>
      </c>
      <c r="I10" s="478">
        <f>transport!I54</f>
        <v>0</v>
      </c>
      <c r="J10" s="478">
        <f>transport!J54</f>
        <v>0</v>
      </c>
      <c r="K10" s="478">
        <f>transport!K54</f>
        <v>0</v>
      </c>
      <c r="L10" s="478">
        <f>transport!L54</f>
        <v>0</v>
      </c>
      <c r="M10" s="478">
        <f>transport!M54</f>
        <v>72.793510985291604</v>
      </c>
      <c r="N10" s="478">
        <f>transport!N54</f>
        <v>0</v>
      </c>
      <c r="O10" s="478">
        <f>transport!O54</f>
        <v>0</v>
      </c>
      <c r="P10" s="479">
        <f>transport!P54</f>
        <v>0</v>
      </c>
      <c r="Q10" s="477">
        <f t="shared" si="0"/>
        <v>2419.6265631503388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134397.39428922848</v>
      </c>
      <c r="C14" s="488">
        <f t="shared" ref="C14:Q14" ca="1" si="1">SUM(C4:C13)</f>
        <v>62.357142857142847</v>
      </c>
      <c r="D14" s="488">
        <f t="shared" ca="1" si="1"/>
        <v>188467.5010208321</v>
      </c>
      <c r="E14" s="488">
        <f t="shared" si="1"/>
        <v>10580.060541493012</v>
      </c>
      <c r="F14" s="488">
        <f t="shared" ca="1" si="1"/>
        <v>26616.991744704803</v>
      </c>
      <c r="G14" s="488">
        <f t="shared" si="1"/>
        <v>281634.93264340336</v>
      </c>
      <c r="H14" s="488">
        <f t="shared" si="1"/>
        <v>46475.5065182529</v>
      </c>
      <c r="I14" s="488">
        <f t="shared" si="1"/>
        <v>0</v>
      </c>
      <c r="J14" s="488">
        <f t="shared" si="1"/>
        <v>2779.7585882711705</v>
      </c>
      <c r="K14" s="488">
        <f t="shared" si="1"/>
        <v>0</v>
      </c>
      <c r="L14" s="488">
        <f t="shared" ca="1" si="1"/>
        <v>0</v>
      </c>
      <c r="M14" s="488">
        <f t="shared" si="1"/>
        <v>10263.978506482506</v>
      </c>
      <c r="N14" s="488">
        <f t="shared" ca="1" si="1"/>
        <v>34186.530325716187</v>
      </c>
      <c r="O14" s="488">
        <f t="shared" si="1"/>
        <v>297.0333333333333</v>
      </c>
      <c r="P14" s="489">
        <f t="shared" si="1"/>
        <v>1144.0000000000002</v>
      </c>
      <c r="Q14" s="489">
        <f t="shared" ca="1" si="1"/>
        <v>736906.04465457506</v>
      </c>
    </row>
    <row r="16" spans="1:17">
      <c r="A16" s="491" t="s">
        <v>559</v>
      </c>
      <c r="B16" s="841">
        <f ca="1">huishoudens!B10</f>
        <v>0.1934753256325461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9588.7705130501545</v>
      </c>
      <c r="C21" s="478">
        <f t="shared" ref="C21:C30" ca="1" si="3">C4*$C$16</f>
        <v>0</v>
      </c>
      <c r="D21" s="478">
        <f t="shared" ref="D21:D30" si="4">D4*$D$16</f>
        <v>23189.844719517518</v>
      </c>
      <c r="E21" s="478">
        <f t="shared" ref="E21:E30" si="5">E4*$E$16</f>
        <v>1388.9503825842239</v>
      </c>
      <c r="F21" s="478">
        <f t="shared" ref="F21:F30" si="6">F4*$F$16</f>
        <v>0</v>
      </c>
      <c r="G21" s="478">
        <f t="shared" ref="G21:G30" si="7">G4*$G$16</f>
        <v>0</v>
      </c>
      <c r="H21" s="478">
        <f t="shared" ref="H21:H30" si="8">H4*$H$16</f>
        <v>0</v>
      </c>
      <c r="I21" s="478">
        <f t="shared" ref="I21:I30" si="9">I4*$I$16</f>
        <v>0</v>
      </c>
      <c r="J21" s="478">
        <f t="shared" ref="J21:J30" si="10">J4*$J$16</f>
        <v>825.13147861932498</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34992.697093771225</v>
      </c>
    </row>
    <row r="22" spans="1:17">
      <c r="A22" s="477" t="s">
        <v>156</v>
      </c>
      <c r="B22" s="478">
        <f t="shared" ca="1" si="2"/>
        <v>7702.910110057217</v>
      </c>
      <c r="C22" s="478">
        <f t="shared" ca="1" si="3"/>
        <v>0</v>
      </c>
      <c r="D22" s="478">
        <f t="shared" ca="1" si="4"/>
        <v>8888.2268490674905</v>
      </c>
      <c r="E22" s="478">
        <f t="shared" si="5"/>
        <v>178.54675117059628</v>
      </c>
      <c r="F22" s="478">
        <f t="shared" ca="1" si="6"/>
        <v>2570.6122037801015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19340.295914075403</v>
      </c>
    </row>
    <row r="23" spans="1:17">
      <c r="A23" s="477" t="s">
        <v>194</v>
      </c>
      <c r="B23" s="478">
        <f t="shared" ca="1" si="2"/>
        <v>312.68437361973685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312.68437361973685</v>
      </c>
    </row>
    <row r="24" spans="1:17">
      <c r="A24" s="477" t="s">
        <v>112</v>
      </c>
      <c r="B24" s="478">
        <f t="shared" ca="1" si="2"/>
        <v>259.83119118405864</v>
      </c>
      <c r="C24" s="478">
        <f t="shared" ca="1" si="3"/>
        <v>0</v>
      </c>
      <c r="D24" s="478">
        <f t="shared" si="4"/>
        <v>1110.3929839198211</v>
      </c>
      <c r="E24" s="478">
        <f t="shared" si="5"/>
        <v>7.8610079556238377</v>
      </c>
      <c r="F24" s="478">
        <f t="shared" si="6"/>
        <v>1310.6507147247969</v>
      </c>
      <c r="G24" s="478">
        <f t="shared" si="7"/>
        <v>0</v>
      </c>
      <c r="H24" s="478">
        <f t="shared" si="8"/>
        <v>0</v>
      </c>
      <c r="I24" s="478">
        <f t="shared" si="9"/>
        <v>0</v>
      </c>
      <c r="J24" s="478">
        <f t="shared" si="10"/>
        <v>68.441653285233286</v>
      </c>
      <c r="K24" s="478">
        <f t="shared" si="11"/>
        <v>0</v>
      </c>
      <c r="L24" s="478">
        <f t="shared" si="12"/>
        <v>0</v>
      </c>
      <c r="M24" s="478">
        <f t="shared" si="13"/>
        <v>0</v>
      </c>
      <c r="N24" s="478">
        <f t="shared" si="14"/>
        <v>0</v>
      </c>
      <c r="O24" s="478">
        <f t="shared" si="15"/>
        <v>0</v>
      </c>
      <c r="P24" s="479">
        <f t="shared" si="16"/>
        <v>0</v>
      </c>
      <c r="Q24" s="477">
        <f t="shared" ca="1" si="17"/>
        <v>2757.1775510695338</v>
      </c>
    </row>
    <row r="25" spans="1:17">
      <c r="A25" s="477" t="s">
        <v>638</v>
      </c>
      <c r="B25" s="478">
        <f t="shared" ca="1" si="2"/>
        <v>8124.681908500238</v>
      </c>
      <c r="C25" s="478">
        <f t="shared" ca="1" si="3"/>
        <v>0</v>
      </c>
      <c r="D25" s="478">
        <f t="shared" si="4"/>
        <v>4847.4509682307134</v>
      </c>
      <c r="E25" s="478">
        <f t="shared" si="5"/>
        <v>664.54914995367994</v>
      </c>
      <c r="F25" s="478">
        <f t="shared" si="6"/>
        <v>3225.4738773312847</v>
      </c>
      <c r="G25" s="478">
        <f t="shared" si="7"/>
        <v>0</v>
      </c>
      <c r="H25" s="478">
        <f t="shared" si="8"/>
        <v>0</v>
      </c>
      <c r="I25" s="478">
        <f t="shared" si="9"/>
        <v>0</v>
      </c>
      <c r="J25" s="478">
        <f t="shared" si="10"/>
        <v>90.461408343436062</v>
      </c>
      <c r="K25" s="478">
        <f t="shared" si="11"/>
        <v>0</v>
      </c>
      <c r="L25" s="478">
        <f t="shared" si="12"/>
        <v>0</v>
      </c>
      <c r="M25" s="478">
        <f t="shared" si="13"/>
        <v>0</v>
      </c>
      <c r="N25" s="478">
        <f t="shared" si="14"/>
        <v>0</v>
      </c>
      <c r="O25" s="478">
        <f t="shared" si="15"/>
        <v>0</v>
      </c>
      <c r="P25" s="479">
        <f t="shared" si="16"/>
        <v>0</v>
      </c>
      <c r="Q25" s="477">
        <f t="shared" ca="1" si="17"/>
        <v>16952.617312359351</v>
      </c>
    </row>
    <row r="26" spans="1:17" s="483" customFormat="1">
      <c r="A26" s="481" t="s">
        <v>564</v>
      </c>
      <c r="B26" s="835">
        <f t="shared" ca="1" si="2"/>
        <v>13.701527862767049</v>
      </c>
      <c r="C26" s="482">
        <f t="shared" ca="1" si="3"/>
        <v>0</v>
      </c>
      <c r="D26" s="482">
        <f t="shared" si="4"/>
        <v>34.519685472540552</v>
      </c>
      <c r="E26" s="482">
        <f t="shared" si="5"/>
        <v>161.76645125478987</v>
      </c>
      <c r="F26" s="482">
        <f t="shared" si="6"/>
        <v>0</v>
      </c>
      <c r="G26" s="482">
        <f t="shared" si="7"/>
        <v>74569.922590860631</v>
      </c>
      <c r="H26" s="482">
        <f t="shared" si="8"/>
        <v>11572.401123044972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86352.311378495695</v>
      </c>
    </row>
    <row r="27" spans="1:17">
      <c r="A27" s="477" t="s">
        <v>554</v>
      </c>
      <c r="B27" s="478">
        <f t="shared" ca="1" si="2"/>
        <v>0</v>
      </c>
      <c r="C27" s="478">
        <f t="shared" ca="1" si="3"/>
        <v>0</v>
      </c>
      <c r="D27" s="478">
        <f t="shared" si="4"/>
        <v>0</v>
      </c>
      <c r="E27" s="478">
        <f t="shared" si="5"/>
        <v>0</v>
      </c>
      <c r="F27" s="478">
        <f t="shared" si="6"/>
        <v>0</v>
      </c>
      <c r="G27" s="478">
        <f t="shared" si="7"/>
        <v>626.60442492806771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626.60442492806771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26002.579624274171</v>
      </c>
      <c r="C31" s="488">
        <f t="shared" ca="1" si="18"/>
        <v>0</v>
      </c>
      <c r="D31" s="488">
        <f t="shared" ca="1" si="18"/>
        <v>38070.435206208087</v>
      </c>
      <c r="E31" s="488">
        <f t="shared" si="18"/>
        <v>2401.6737429189138</v>
      </c>
      <c r="F31" s="488">
        <f t="shared" ca="1" si="18"/>
        <v>7106.7367958361829</v>
      </c>
      <c r="G31" s="488">
        <f t="shared" si="18"/>
        <v>75196.527015788699</v>
      </c>
      <c r="H31" s="488">
        <f t="shared" si="18"/>
        <v>11572.401123044972</v>
      </c>
      <c r="I31" s="488">
        <f t="shared" si="18"/>
        <v>0</v>
      </c>
      <c r="J31" s="488">
        <f t="shared" si="18"/>
        <v>984.0345402479943</v>
      </c>
      <c r="K31" s="488">
        <f t="shared" si="18"/>
        <v>0</v>
      </c>
      <c r="L31" s="488">
        <f t="shared" ca="1" si="18"/>
        <v>0</v>
      </c>
      <c r="M31" s="488">
        <f t="shared" si="18"/>
        <v>0</v>
      </c>
      <c r="N31" s="488">
        <f t="shared" ca="1" si="18"/>
        <v>0</v>
      </c>
      <c r="O31" s="488">
        <f t="shared" si="18"/>
        <v>0</v>
      </c>
      <c r="P31" s="489">
        <f t="shared" si="18"/>
        <v>0</v>
      </c>
      <c r="Q31" s="489">
        <f t="shared" ca="1" si="18"/>
        <v>161334.38804831903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0.1934753256325461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0.1934753256325461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0.1934753256325461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2018-06-27T09:44:21Z</dcterms:modified>
</cp:coreProperties>
</file>