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L6"/>
  <c r="L5" s="1"/>
  <c r="N16" i="16"/>
  <c r="D6" i="17"/>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<sst xmlns="http://schemas.openxmlformats.org/spreadsheetml/2006/main" count="1960" uniqueCount="835">
  <si>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</si>
  <si>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</si>
  <si>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</si>
  <si>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</si>
  <si>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</si>
  <si>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</si>
  <si>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</si>
  <si>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</si>
  <si>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</si>
  <si>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</si>
  <si>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</si>
  <si>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</si>
  <si>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</si>
  <si>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</si>
  <si>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</si>
  <si>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</si>
  <si>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</si>
  <si>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</si>
  <si>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</si>
  <si>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</si>
  <si>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</si>
  <si>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</si>
  <si>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</si>
  <si>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</si>
  <si>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</si>
  <si>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</si>
  <si>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</si>
  <si>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</si>
  <si>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</si>
  <si>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</si>
  <si>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</si>
  <si>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</si>
  <si>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</si>
  <si>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</si>
  <si>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</si>
  <si>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</si>
  <si>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</si>
  <si>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</si>
  <si>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</si>
  <si>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</si>
  <si>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</si>
  <si>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</si>
  <si>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</si>
  <si>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</si>
  <si>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</si>
  <si>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</si>
  <si>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</si>
  <si>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</si>
  <si>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</si>
  <si>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</si>
  <si>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</si>
  <si>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</si>
  <si>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</si>
  <si>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</si>
  <si>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</si>
  <si>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</si>
  <si>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</si>
  <si>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</si>
  <si>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</si>
  <si>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</si>
  <si>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</si>
  <si>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</si>
  <si>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</si>
  <si>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</si>
  <si>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</si>
  <si>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</si>
  <si>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</si>
  <si>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</si>
  <si>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</si>
  <si>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</si>
  <si>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</si>
  <si>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</si>
  <si>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</si>
  <si>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</si>
  <si>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</si>
  <si>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</si>
  <si>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</si>
  <si>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</si>
  <si>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</si>
  <si>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</si>
  <si>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</si>
  <si>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</si>
  <si>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</si>
  <si>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</si>
  <si>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</si>
  <si>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</si>
  <si>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</si>
  <si>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</si>
  <si>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</si>
  <si>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</si>
  <si>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</si>
  <si>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</si>
  <si>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</si>
  <si>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</si>
  <si>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</si>
  <si>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</si>
  <si>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</si>
  <si>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</si>
  <si>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</si>
  <si>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</si>
  <si>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</si>
  <si>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</si>
  <si>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</si>
  <si>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</si>
  <si>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</si>
  <si>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</si>
  <si>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</si>
  <si>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</si>
  <si>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</si>
  <si>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</si>
  <si>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</si>
  <si>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</si>
  <si>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</si>
  <si>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</si>
  <si>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</si>
  <si>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</si>
  <si>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</si>
  <si>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</si>
  <si>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</si>
  <si>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</si>
  <si>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</si>
  <si>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</si>
  <si>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</si>
  <si>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</si>
  <si>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</si>
  <si>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</si>
  <si>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</si>
  <si>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</si>
  <si>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</si>
  <si>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</si>
  <si>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</si>
  <si>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</si>
  <si>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</si>
  <si>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</si>
  <si>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</si>
  <si>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</si>
  <si>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</si>
  <si>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</si>
  <si>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</si>
  <si>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</si>
  <si>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</si>
  <si>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</si>
  <si>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</si>
  <si>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</si>
  <si>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</si>
  <si>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</si>
  <si>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</si>
  <si>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</si>
  <si>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</si>
  <si>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</si>
  <si>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</si>
  <si>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</si>
  <si>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</si>
  <si>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</si>
  <si>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</si>
  <si>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</si>
  <si>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</si>
  <si>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</si>
  <si>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</si>
  <si>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</si>
  <si>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</si>
  <si>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</si>
  <si>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</si>
  <si>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</si>
  <si>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</si>
  <si>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</si>
  <si>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</si>
  <si>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</si>
  <si>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</si>
  <si>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</si>
  <si>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</si>
  <si>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</si>
  <si>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</si>
  <si>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</si>
  <si>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</si>
  <si>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</si>
  <si>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</si>
  <si>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</si>
  <si>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</si>
  <si>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</si>
  <si>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</si>
  <si>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</si>
  <si>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</si>
  <si>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</si>
  <si>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</si>
  <si>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</si>
  <si>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</si>
  <si>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</si>
  <si>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</si>
  <si>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</si>
  <si>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</si>
  <si>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</si>
  <si>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</si>
  <si>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</si>
  <si>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</si>
  <si>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</si>
  <si>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</si>
  <si>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</si>
  <si>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</si>
  <si>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</si>
  <si>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</si>
  <si>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</si>
  <si>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</si>
  <si>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</si>
  <si>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</si>
  <si>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</si>
  <si>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</si>
  <si>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</si>
  <si>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</si>
  <si>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</si>
  <si>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</si>
  <si>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</si>
  <si>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</si>
  <si>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</si>
  <si>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</si>
  <si>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</si>
  <si>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</si>
  <si>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</si>
  <si>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</si>
  <si>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</si>
  <si>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</si>
  <si>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</si>
  <si>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</si>
  <si>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</si>
  <si>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</si>
  <si>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</si>
  <si>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</si>
  <si>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</si>
  <si>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</si>
  <si>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</si>
  <si>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</si>
  <si>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</si>
  <si>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</si>
  <si>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</si>
  <si>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</si>
  <si>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</si>
  <si>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</si>
  <si>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</si>
  <si>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</si>
  <si>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</si>
  <si>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</si>
  <si>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</si>
  <si>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</si>
  <si>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</si>
  <si>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</si>
  <si>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</si>
  <si>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</si>
  <si>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</si>
  <si>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</si>
  <si>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</si>
  <si>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</si>
  <si>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</si>
  <si>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</si>
  <si>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</si>
  <si>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</si>
  <si>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</si>
  <si>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</si>
  <si>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</si>
  <si>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</si>
  <si>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</si>
  <si>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</si>
  <si>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</si>
  <si>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</si>
  <si>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</si>
  <si>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</si>
  <si>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</si>
  <si>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</si>
  <si>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</si>
  <si>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</si>
  <si>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</si>
  <si>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</si>
  <si>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</si>
  <si>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</si>
  <si>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</si>
  <si>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</si>
  <si>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</si>
  <si>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</si>
  <si>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</si>
  <si>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</si>
  <si>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</si>
  <si>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</si>
  <si>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</si>
  <si>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</si>
  <si>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</si>
  <si>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</si>
  <si>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</si>
  <si>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</si>
  <si>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</si>
  <si>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</si>
  <si>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</si>
  <si>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</si>
  <si>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</si>
  <si>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</si>
  <si>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</si>
  <si>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</si>
  <si>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</si>
  <si>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</si>
  <si>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</si>
  <si>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</si>
  <si>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</si>
  <si>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</si>
  <si>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</si>
  <si>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</si>
  <si>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</si>
  <si>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</si>
  <si>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</si>
  <si>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</si>
  <si>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</si>
  <si>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</si>
  <si>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</si>
  <si>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</si>
  <si>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</si>
  <si>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</si>
  <si>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</si>
  <si>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</si>
  <si>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</si>
  <si>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</si>
  <si>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</si>
  <si>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</si>
  <si>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</si>
  <si>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</si>
  <si>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</si>
  <si>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</si>
  <si>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</si>
  <si>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</si>
  <si>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</si>
  <si>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</si>
  <si>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</si>
  <si>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</si>
  <si>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</si>
  <si>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</si>
  <si>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</si>
  <si>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</si>
  <si>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</si>
  <si>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</si>
  <si>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</si>
  <si>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</si>
  <si>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</si>
  <si>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</si>
  <si>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</si>
  <si>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</si>
  <si>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</si>
  <si>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</si>
  <si>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</si>
  <si>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</si>
  <si>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</si>
  <si>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</si>
  <si>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</si>
  <si>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</si>
  <si>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</si>
  <si>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</si>
  <si>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</si>
  <si>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</si>
  <si>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</si>
  <si>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</si>
  <si>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</si>
  <si>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</si>
  <si>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</si>
  <si>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</si>
  <si>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</si>
  <si>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</si>
  <si>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</si>
  <si>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</si>
  <si>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</si>
  <si>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</si>
  <si>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</si>
  <si>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</si>
  <si>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</si>
  <si>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</si>
  <si>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</si>
  <si>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</si>
  <si>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</si>
  <si>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</si>
  <si>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</si>
  <si>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</si>
  <si>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</si>
  <si>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</si>
  <si>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</si>
  <si>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</si>
  <si>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</si>
  <si>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</si>
  <si>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</si>
  <si>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</si>
  <si>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</si>
  <si>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</si>
  <si>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</si>
  <si>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</si>
  <si>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</si>
  <si>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</si>
  <si>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</si>
  <si>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</si>
  <si>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</si>
  <si>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</si>
  <si>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</si>
  <si>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</si>
  <si>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</si>
  <si>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</si>
  <si>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</si>
  <si>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</si>
  <si>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</si>
  <si>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</si>
  <si>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</si>
  <si>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</si>
  <si>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</si>
  <si>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</si>
  <si>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</si>
  <si>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</si>
  <si>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</si>
  <si>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</si>
  <si>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</si>
  <si>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</si>
  <si>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</si>
  <si>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</si>
  <si>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</si>
  <si>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</si>
  <si>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</si>
  <si>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</si>
  <si>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</si>
  <si>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</si>
  <si>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</si>
  <si>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</si>
  <si>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</si>
  <si>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</si>
  <si>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</si>
  <si>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</si>
  <si>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</si>
  <si>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</si>
  <si>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</si>
  <si>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</si>
  <si>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</si>
  <si>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</si>
  <si>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</si>
  <si>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</si>
  <si>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</si>
  <si>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</si>
  <si>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</si>
  <si>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</si>
  <si>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</si>
  <si>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</si>
  <si>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</si>
  <si>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</si>
  <si>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</si>
  <si>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</si>
  <si>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</si>
  <si>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</si>
  <si>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</si>
  <si>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</si>
  <si>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</si>
  <si>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</si>
  <si>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</si>
  <si>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</si>
  <si>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</si>
  <si>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</si>
  <si>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</si>
  <si>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</si>
  <si>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</si>
  <si>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</si>
  <si>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</si>
  <si>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</si>
  <si>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</si>
  <si>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</si>
  <si>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</si>
  <si>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</si>
  <si>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</si>
  <si>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</si>
  <si>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</si>
  <si>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</si>
  <si>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</si>
  <si>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</si>
  <si>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</si>
  <si>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</si>
  <si>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</si>
  <si>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</si>
  <si>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</si>
  <si>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</si>
  <si>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</si>
  <si>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</si>
  <si>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</si>
  <si>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</si>
  <si>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</si>
  <si>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</si>
  <si>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</si>
  <si>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</si>
  <si>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</si>
  <si>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</si>
  <si>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</si>
  <si>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</si>
  <si>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</si>
  <si>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</si>
  <si>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</si>
  <si>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</si>
  <si>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</si>
  <si>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</si>
  <si>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</si>
  <si>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</si>
  <si>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</si>
  <si>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</si>
  <si>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</si>
  <si>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</si>
  <si>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</si>
  <si>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</si>
  <si>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</si>
  <si>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</si>
  <si>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</si>
  <si>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</si>
  <si>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</si>
  <si>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</si>
  <si>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</si>
  <si>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</si>
  <si>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</si>
  <si>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</si>
  <si>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</si>
  <si>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</si>
  <si>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</si>
  <si>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</si>
  <si>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</si>
  <si>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</si>
  <si>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</si>
  <si>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</si>
  <si>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</si>
  <si>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</si>
  <si>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</si>
  <si>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</si>
  <si>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</si>
  <si>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</si>
  <si>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</si>
  <si>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</si>
  <si>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</si>
  <si>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</si>
  <si>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</si>
  <si>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</si>
  <si>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</si>
  <si>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</si>
  <si>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</si>
  <si>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</si>
  <si>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</si>
  <si>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</si>
  <si>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</si>
  <si>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</si>
  <si>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</si>
  <si>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</si>
  <si>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</si>
  <si>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</si>
  <si>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</si>
  <si>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</si>
  <si>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</si>
  <si>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</si>
  <si>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</si>
  <si>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</si>
  <si>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</si>
  <si>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</si>
  <si>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</si>
  <si>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</si>
  <si>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</si>
  <si>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</si>
  <si>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</si>
  <si>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</si>
  <si>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</si>
  <si>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</si>
  <si>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</si>
  <si>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</si>
  <si>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</si>
  <si>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</si>
  <si>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</si>
  <si>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</si>
  <si>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</si>
  <si>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</si>
  <si>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</si>
  <si>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</si>
  <si>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</si>
  <si>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</si>
  <si>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</si>
  <si>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</si>
  <si>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</si>
  <si>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</si>
  <si>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</si>
  <si>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</si>
  <si>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</si>
  <si>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</si>
  <si>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</si>
  <si>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</si>
  <si>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</si>
  <si>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</si>
  <si>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</si>
  <si>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</si>
  <si>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</si>
  <si>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</si>
  <si>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</si>
  <si>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</si>
  <si>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</si>
  <si>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</si>
  <si>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</si>
  <si>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</si>
  <si>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</si>
  <si>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</si>
  <si>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</si>
  <si>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</si>
  <si>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</si>
  <si>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</si>
  <si>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</si>
  <si>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</si>
  <si>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</si>
  <si>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</si>
  <si>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</si>
  <si>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</si>
  <si>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</si>
  <si>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</si>
  <si>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</si>
  <si>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</si>
  <si>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</si>
  <si>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</si>
  <si>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</si>
  <si>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</si>
  <si>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</si>
  <si>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</si>
  <si>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</si>
  <si>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</si>
  <si>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</si>
  <si>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</si>
  <si>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</si>
  <si>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</si>
  <si>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</si>
  <si>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</si>
  <si>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</si>
  <si>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</si>
  <si>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</si>
  <si>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</si>
  <si>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</si>
  <si>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</si>
  <si>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</si>
  <si>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</si>
  <si>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</si>
  <si>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</si>
  <si>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</si>
  <si>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</si>
  <si>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</si>
  <si>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</si>
  <si>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</si>
  <si>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</si>
  <si>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</si>
  <si>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</si>
  <si>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</si>
  <si>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</si>
  <si>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</si>
  <si>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</si>
  <si>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</si>
  <si>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</si>
  <si>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</si>
  <si>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</si>
  <si>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</si>
  <si>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</si>
  <si>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</si>
  <si>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</si>
  <si>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</si>
  <si>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</si>
  <si>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</si>
  <si>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</si>
  <si>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</si>
  <si>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</si>
  <si>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</si>
  <si>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</si>
  <si>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</si>
  <si>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</si>
  <si>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</si>
  <si>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</si>
  <si>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</si>
  <si>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</si>
  <si>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</si>
  <si>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</si>
  <si>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</si>
  <si>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</si>
  <si>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</si>
  <si>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</si>
  <si>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</si>
  <si>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</si>
  <si>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</si>
  <si>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</si>
  <si>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</si>
  <si>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</si>
  <si>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</si>
  <si>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</si>
  <si>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</si>
  <si>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</si>
  <si>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</si>
  <si>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</si>
  <si>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</si>
  <si>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</si>
  <si>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</si>
  <si>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</si>
  <si>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</si>
  <si>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</si>
  <si>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</si>
  <si>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</si>
  <si>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</si>
  <si>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</si>
  <si>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</si>
  <si>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</si>
  <si>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</si>
  <si>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</si>
  <si>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</si>
  <si>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</si>
  <si>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</si>
  <si>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</si>
  <si>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</si>
  <si>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</si>
  <si>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</si>
  <si>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</si>
  <si>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</si>
  <si>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</si>
  <si>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</si>
  <si>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</si>
  <si>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</si>
  <si>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</si>
  <si>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</si>
  <si>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</si>
  <si>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</si>
  <si>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</si>
  <si>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</si>
  <si>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</si>
  <si>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</si>
  <si>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</si>
  <si>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</si>
  <si>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</si>
  <si>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</si>
  <si>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</si>
  <si>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</si>
  <si>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</si>
  <si>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</si>
  <si>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</si>
  <si>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</si>
  <si>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</si>
  <si>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</si>
  <si>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</si>
  <si>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</si>
  <si>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</si>
  <si>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</si>
  <si>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</si>
  <si>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</si>
  <si>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</si>
  <si>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</si>
  <si>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</si>
  <si>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</si>
  <si>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</si>
  <si>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</si>
  <si>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</si>
  <si>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</si>
  <si>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</si>
  <si>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</si>
  <si>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</si>
  <si>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</si>
  <si>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</si>
  <si>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</si>
  <si>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</si>
  <si>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</si>
  <si>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</si>
  <si>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</si>
  <si>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</si>
  <si>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</si>
  <si>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</si>
  <si>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</si>
  <si>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</si>
  <si>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</si>
  <si>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</si>
  <si>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</si>
  <si>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</si>
  <si>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</si>
  <si>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</si>
  <si>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</si>
  <si>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</si>
  <si>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</si>
  <si>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</si>
  <si>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</si>
  <si>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</si>
  <si>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</si>
  <si>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</si>
  <si>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</si>
  <si>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</si>
  <si>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</si>
  <si>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</si>
  <si>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</si>
  <si>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</si>
  <si>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</si>
  <si>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</si>
  <si>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</si>
  <si>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</si>
  <si>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</si>
  <si>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</si>
  <si>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</si>
  <si>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</si>
  <si>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</si>
  <si>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</si>
  <si>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</si>
  <si>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</si>
  <si>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</si>
  <si>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</si>
  <si>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</si>
  <si>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</si>
  <si>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</si>
  <si>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</si>
  <si>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</si>
  <si>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</si>
  <si>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</si>
  <si>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</si>
  <si>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</si>
  <si>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</si>
  <si>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</si>
  <si>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</si>
  <si>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</si>
  <si>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</si>
  <si>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</si>
  <si>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45035</t>
  </si>
  <si>
    <t>OUDENAARDE</t>
  </si>
  <si>
    <t>Paarden&amp;pony's 200 - 600 kg</t>
  </si>
  <si>
    <t>Paarden&amp;pony's &lt; 200 kg</t>
  </si>
  <si>
    <t>referentietaak LNE (2017); Jaarverslag De Lijn (2015)</t>
  </si>
  <si>
    <t>op basis van VEA (maart 2018) en Inventaris Hernieuwbare Energiebronnen (juni 2018)</t>
  </si>
  <si>
    <t>VEA (januari 2017)</t>
  </si>
  <si>
    <t>VEA (juni 2018)</t>
  </si>
  <si>
    <t>Marc Weyme</t>
  </si>
  <si>
    <t>Industriepark "De Bruwaan" 24 , 9700 Oudenaarde</t>
  </si>
  <si>
    <t>WKK-0262 EOC Belgium</t>
  </si>
  <si>
    <t>interne verbrandingsmotor</t>
  </si>
  <si>
    <t>WKK interne verbrandinsgmotor (gas)</t>
  </si>
  <si>
    <t>GASELWEST</t>
  </si>
  <si>
    <t>chemie</t>
  </si>
  <si>
    <t>Paul De Rycke</t>
  </si>
  <si>
    <t>Watermolenstraat 12 , 9700 Oudenaarde</t>
  </si>
  <si>
    <t>WKK-0393 Paul De Rycke</t>
  </si>
  <si>
    <t>stirlingmotor</t>
  </si>
  <si>
    <t>Raymond TSas</t>
  </si>
  <si>
    <t>Armenlos 6 , 9700 Oudenaarde</t>
  </si>
  <si>
    <t>WKK-0396 Raymond TSas</t>
  </si>
  <si>
    <t>Varkensbedrijf Nico Van Ryckeghem</t>
  </si>
  <si>
    <t>Rooigem 23 , 9700 Oudenaarde</t>
  </si>
  <si>
    <t>WKK-0572 Varkensbedrijf Nico Van Ryckeghem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</si>
</sst>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234773.26989808548</c:v>
                </c:pt>
                <c:pt idx="1">
                  <c:v>171619.37142693947</c:v>
                </c:pt>
                <c:pt idx="2">
                  <c:v>2408.2570000000001</c:v>
                </c:pt>
                <c:pt idx="3">
                  <c:v>16027.554615070474</c:v>
                </c:pt>
                <c:pt idx="4">
                  <c:v>441949.01133140322</c:v>
                </c:pt>
                <c:pt idx="5">
                  <c:v>177399.74921599016</c:v>
                </c:pt>
                <c:pt idx="6">
                  <c:v>2611.0979149136056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234773.26989808548</c:v>
                </c:pt>
                <c:pt idx="1">
                  <c:v>171619.37142693947</c:v>
                </c:pt>
                <c:pt idx="2">
                  <c:v>2408.2570000000001</c:v>
                </c:pt>
                <c:pt idx="3">
                  <c:v>16027.554615070474</c:v>
                </c:pt>
                <c:pt idx="4">
                  <c:v>441949.01133140322</c:v>
                </c:pt>
                <c:pt idx="5">
                  <c:v>177399.74921599016</c:v>
                </c:pt>
                <c:pt idx="6">
                  <c:v>2611.0979149136056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45459.203289628385</c:v>
                </c:pt>
                <c:pt idx="1">
                  <c:v>34845.258542002026</c:v>
                </c:pt>
                <c:pt idx="2">
                  <c:v>500.65598017264222</c:v>
                </c:pt>
                <c:pt idx="3">
                  <c:v>3702.2380618939155</c:v>
                </c:pt>
                <c:pt idx="4">
                  <c:v>86460.729337559154</c:v>
                </c:pt>
                <c:pt idx="5">
                  <c:v>45405.135610802594</c:v>
                </c:pt>
                <c:pt idx="6">
                  <c:v>676.18926503893681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45459.203289628385</c:v>
                </c:pt>
                <c:pt idx="1">
                  <c:v>34845.258542002026</c:v>
                </c:pt>
                <c:pt idx="2">
                  <c:v>500.65598017264222</c:v>
                </c:pt>
                <c:pt idx="3">
                  <c:v>3702.2380618939155</c:v>
                </c:pt>
                <c:pt idx="4">
                  <c:v>86460.729337559154</c:v>
                </c:pt>
                <c:pt idx="5">
                  <c:v>45405.135610802594</c:v>
                </c:pt>
                <c:pt idx="6">
                  <c:v>676.18926503893681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45035</v>
      </c>
      <c r="B6" s="415"/>
      <c r="C6" s="416"/>
    </row>
    <row r="7" spans="1:7" s="413" customFormat="1" ht="15.75" customHeight="1">
      <c r="A7" s="417" t="str">
        <f>txtMunicipality</f>
        <v>OUDENAARDE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45035</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13252</v>
      </c>
      <c r="C9" s="342">
        <v>13748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3815.28</v>
      </c>
    </row>
    <row r="15" spans="1:6">
      <c r="A15" s="348" t="s">
        <v>184</v>
      </c>
      <c r="B15" s="334">
        <v>33</v>
      </c>
    </row>
    <row r="16" spans="1:6">
      <c r="A16" s="348" t="s">
        <v>6</v>
      </c>
      <c r="B16" s="334">
        <v>1067</v>
      </c>
    </row>
    <row r="17" spans="1:6">
      <c r="A17" s="348" t="s">
        <v>7</v>
      </c>
      <c r="B17" s="334">
        <v>850</v>
      </c>
    </row>
    <row r="18" spans="1:6">
      <c r="A18" s="348" t="s">
        <v>8</v>
      </c>
      <c r="B18" s="334">
        <v>1253</v>
      </c>
    </row>
    <row r="19" spans="1:6">
      <c r="A19" s="348" t="s">
        <v>9</v>
      </c>
      <c r="B19" s="334">
        <v>1149</v>
      </c>
    </row>
    <row r="20" spans="1:6">
      <c r="A20" s="348" t="s">
        <v>10</v>
      </c>
      <c r="B20" s="334">
        <v>750</v>
      </c>
    </row>
    <row r="21" spans="1:6">
      <c r="A21" s="348" t="s">
        <v>11</v>
      </c>
      <c r="B21" s="334">
        <v>1789</v>
      </c>
    </row>
    <row r="22" spans="1:6">
      <c r="A22" s="348" t="s">
        <v>12</v>
      </c>
      <c r="B22" s="334">
        <v>5455</v>
      </c>
    </row>
    <row r="23" spans="1:6">
      <c r="A23" s="348" t="s">
        <v>13</v>
      </c>
      <c r="B23" s="334">
        <v>168</v>
      </c>
    </row>
    <row r="24" spans="1:6">
      <c r="A24" s="348" t="s">
        <v>14</v>
      </c>
      <c r="B24" s="334">
        <v>18</v>
      </c>
    </row>
    <row r="25" spans="1:6">
      <c r="A25" s="348" t="s">
        <v>15</v>
      </c>
      <c r="B25" s="334">
        <v>462</v>
      </c>
    </row>
    <row r="26" spans="1:6">
      <c r="A26" s="348" t="s">
        <v>16</v>
      </c>
      <c r="B26" s="334">
        <v>77</v>
      </c>
    </row>
    <row r="27" spans="1:6">
      <c r="A27" s="348" t="s">
        <v>17</v>
      </c>
      <c r="B27" s="334">
        <v>4</v>
      </c>
    </row>
    <row r="28" spans="1:6" s="356" customFormat="1">
      <c r="A28" s="355" t="s">
        <v>18</v>
      </c>
      <c r="B28" s="355">
        <v>225346</v>
      </c>
    </row>
    <row r="29" spans="1:6">
      <c r="A29" s="355" t="s">
        <v>812</v>
      </c>
      <c r="B29" s="355">
        <v>69</v>
      </c>
      <c r="C29" s="356"/>
      <c r="D29" s="356"/>
      <c r="E29" s="356"/>
      <c r="F29" s="356"/>
    </row>
    <row r="30" spans="1:6">
      <c r="A30" s="355" t="s">
        <v>813</v>
      </c>
      <c r="B30" s="341">
        <v>36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19826.640919000001</v>
      </c>
    </row>
    <row r="36" spans="1:6">
      <c r="A36" s="348" t="s">
        <v>25</v>
      </c>
      <c r="B36" s="348" t="s">
        <v>27</v>
      </c>
      <c r="C36" s="334">
        <v>0</v>
      </c>
      <c r="D36" s="334">
        <v>0</v>
      </c>
      <c r="E36" s="334">
        <v>8</v>
      </c>
      <c r="F36" s="334">
        <v>55054.052030999999</v>
      </c>
    </row>
    <row r="37" spans="1:6">
      <c r="A37" s="348" t="s">
        <v>25</v>
      </c>
      <c r="B37" s="348" t="s">
        <v>28</v>
      </c>
      <c r="C37" s="334">
        <v>0</v>
      </c>
      <c r="D37" s="334">
        <v>0</v>
      </c>
      <c r="E37" s="334">
        <v>0</v>
      </c>
      <c r="F37" s="334">
        <v>0</v>
      </c>
    </row>
    <row r="38" spans="1:6">
      <c r="A38" s="348" t="s">
        <v>25</v>
      </c>
      <c r="B38" s="348" t="s">
        <v>29</v>
      </c>
      <c r="C38" s="334">
        <v>3</v>
      </c>
      <c r="D38" s="334">
        <v>123419.73561</v>
      </c>
      <c r="E38" s="334">
        <v>1</v>
      </c>
      <c r="F38" s="334">
        <v>197166.25443</v>
      </c>
    </row>
    <row r="39" spans="1:6">
      <c r="A39" s="348" t="s">
        <v>30</v>
      </c>
      <c r="B39" s="348" t="s">
        <v>31</v>
      </c>
      <c r="C39" s="334">
        <v>8037</v>
      </c>
      <c r="D39" s="334">
        <v>117318782.19</v>
      </c>
      <c r="E39" s="334">
        <v>13027</v>
      </c>
      <c r="F39" s="334">
        <v>49175607.07</v>
      </c>
    </row>
    <row r="40" spans="1:6">
      <c r="A40" s="348" t="s">
        <v>30</v>
      </c>
      <c r="B40" s="348" t="s">
        <v>29</v>
      </c>
      <c r="C40" s="334">
        <v>0</v>
      </c>
      <c r="D40" s="334">
        <v>0</v>
      </c>
      <c r="E40" s="334">
        <v>0</v>
      </c>
      <c r="F40" s="334">
        <v>0</v>
      </c>
    </row>
    <row r="41" spans="1:6">
      <c r="A41" s="348" t="s">
        <v>32</v>
      </c>
      <c r="B41" s="348" t="s">
        <v>33</v>
      </c>
      <c r="C41" s="334">
        <v>131</v>
      </c>
      <c r="D41" s="334">
        <v>49575484.048</v>
      </c>
      <c r="E41" s="334">
        <v>313</v>
      </c>
      <c r="F41" s="334">
        <v>12081995.274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1252771.7117999999</v>
      </c>
      <c r="E44" s="334">
        <v>39</v>
      </c>
      <c r="F44" s="334">
        <v>3680016.2017000001</v>
      </c>
    </row>
    <row r="45" spans="1:6">
      <c r="A45" s="348" t="s">
        <v>32</v>
      </c>
      <c r="B45" s="348" t="s">
        <v>37</v>
      </c>
      <c r="C45" s="334">
        <v>0</v>
      </c>
      <c r="D45" s="334">
        <v>0</v>
      </c>
      <c r="E45" s="334">
        <v>9</v>
      </c>
      <c r="F45" s="334">
        <v>9287382.3340000007</v>
      </c>
    </row>
    <row r="46" spans="1:6">
      <c r="A46" s="348" t="s">
        <v>32</v>
      </c>
      <c r="B46" s="348" t="s">
        <v>38</v>
      </c>
      <c r="C46" s="334">
        <v>0</v>
      </c>
      <c r="D46" s="334">
        <v>0</v>
      </c>
      <c r="E46" s="334">
        <v>0</v>
      </c>
      <c r="F46" s="334">
        <v>0</v>
      </c>
    </row>
    <row r="47" spans="1:6">
      <c r="A47" s="348" t="s">
        <v>32</v>
      </c>
      <c r="B47" s="348" t="s">
        <v>39</v>
      </c>
      <c r="C47" s="334">
        <v>7</v>
      </c>
      <c r="D47" s="334">
        <v>502524.94313000003</v>
      </c>
      <c r="E47" s="334">
        <v>15</v>
      </c>
      <c r="F47" s="334">
        <v>1696396.3629000001</v>
      </c>
    </row>
    <row r="48" spans="1:6">
      <c r="A48" s="348" t="s">
        <v>32</v>
      </c>
      <c r="B48" s="348" t="s">
        <v>29</v>
      </c>
      <c r="C48" s="334">
        <v>50</v>
      </c>
      <c r="D48" s="334">
        <v>140450404.66</v>
      </c>
      <c r="E48" s="334">
        <v>50</v>
      </c>
      <c r="F48" s="334">
        <v>126477695.98</v>
      </c>
    </row>
    <row r="49" spans="1:6">
      <c r="A49" s="348" t="s">
        <v>32</v>
      </c>
      <c r="B49" s="348" t="s">
        <v>40</v>
      </c>
      <c r="C49" s="334">
        <v>0</v>
      </c>
      <c r="D49" s="334">
        <v>0</v>
      </c>
      <c r="E49" s="334">
        <v>5</v>
      </c>
      <c r="F49" s="334">
        <v>260230.93674</v>
      </c>
    </row>
    <row r="50" spans="1:6">
      <c r="A50" s="348" t="s">
        <v>32</v>
      </c>
      <c r="B50" s="348" t="s">
        <v>41</v>
      </c>
      <c r="C50" s="334">
        <v>24</v>
      </c>
      <c r="D50" s="334">
        <v>19738972.706</v>
      </c>
      <c r="E50" s="334">
        <v>42</v>
      </c>
      <c r="F50" s="334">
        <v>8766217.7590999994</v>
      </c>
    </row>
    <row r="51" spans="1:6">
      <c r="A51" s="348" t="s">
        <v>42</v>
      </c>
      <c r="B51" s="348" t="s">
        <v>43</v>
      </c>
      <c r="C51" s="334">
        <v>13</v>
      </c>
      <c r="D51" s="334">
        <v>241788.09622000001</v>
      </c>
      <c r="E51" s="334">
        <v>109</v>
      </c>
      <c r="F51" s="334">
        <v>1645489.4003000001</v>
      </c>
    </row>
    <row r="52" spans="1:6">
      <c r="A52" s="348" t="s">
        <v>42</v>
      </c>
      <c r="B52" s="348" t="s">
        <v>29</v>
      </c>
      <c r="C52" s="334">
        <v>4</v>
      </c>
      <c r="D52" s="334">
        <v>100791.82608</v>
      </c>
      <c r="E52" s="334">
        <v>8</v>
      </c>
      <c r="F52" s="334">
        <v>90785.062864000007</v>
      </c>
    </row>
    <row r="53" spans="1:6">
      <c r="A53" s="348" t="s">
        <v>44</v>
      </c>
      <c r="B53" s="348" t="s">
        <v>45</v>
      </c>
      <c r="C53" s="334">
        <v>313</v>
      </c>
      <c r="D53" s="334">
        <v>8193125.4627999999</v>
      </c>
      <c r="E53" s="334">
        <v>625</v>
      </c>
      <c r="F53" s="334">
        <v>2281324.1751999999</v>
      </c>
    </row>
    <row r="54" spans="1:6">
      <c r="A54" s="348" t="s">
        <v>46</v>
      </c>
      <c r="B54" s="348" t="s">
        <v>47</v>
      </c>
      <c r="C54" s="334">
        <v>0</v>
      </c>
      <c r="D54" s="334">
        <v>0</v>
      </c>
      <c r="E54" s="334">
        <v>1</v>
      </c>
      <c r="F54" s="334">
        <v>2408257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110</v>
      </c>
      <c r="D57" s="334">
        <v>8190682.2220000001</v>
      </c>
      <c r="E57" s="334">
        <v>261</v>
      </c>
      <c r="F57" s="334">
        <v>5645060.2335999999</v>
      </c>
    </row>
    <row r="58" spans="1:6">
      <c r="A58" s="348" t="s">
        <v>49</v>
      </c>
      <c r="B58" s="348" t="s">
        <v>51</v>
      </c>
      <c r="C58" s="334">
        <v>78</v>
      </c>
      <c r="D58" s="334">
        <v>7202856.1767999995</v>
      </c>
      <c r="E58" s="334">
        <v>117</v>
      </c>
      <c r="F58" s="334">
        <v>5256143.1535999998</v>
      </c>
    </row>
    <row r="59" spans="1:6">
      <c r="A59" s="348" t="s">
        <v>49</v>
      </c>
      <c r="B59" s="348" t="s">
        <v>52</v>
      </c>
      <c r="C59" s="334">
        <v>300</v>
      </c>
      <c r="D59" s="334">
        <v>11057707.114</v>
      </c>
      <c r="E59" s="334">
        <v>544</v>
      </c>
      <c r="F59" s="334">
        <v>21016788.392000001</v>
      </c>
    </row>
    <row r="60" spans="1:6">
      <c r="A60" s="348" t="s">
        <v>49</v>
      </c>
      <c r="B60" s="348" t="s">
        <v>53</v>
      </c>
      <c r="C60" s="334">
        <v>138</v>
      </c>
      <c r="D60" s="334">
        <v>5805366.3986</v>
      </c>
      <c r="E60" s="334">
        <v>195</v>
      </c>
      <c r="F60" s="334">
        <v>4910088.6421999997</v>
      </c>
    </row>
    <row r="61" spans="1:6">
      <c r="A61" s="348" t="s">
        <v>49</v>
      </c>
      <c r="B61" s="348" t="s">
        <v>54</v>
      </c>
      <c r="C61" s="334">
        <v>375</v>
      </c>
      <c r="D61" s="334">
        <v>71418008.920000002</v>
      </c>
      <c r="E61" s="334">
        <v>758</v>
      </c>
      <c r="F61" s="334">
        <v>9873024.2797999997</v>
      </c>
    </row>
    <row r="62" spans="1:6">
      <c r="A62" s="348" t="s">
        <v>49</v>
      </c>
      <c r="B62" s="348" t="s">
        <v>55</v>
      </c>
      <c r="C62" s="334">
        <v>41</v>
      </c>
      <c r="D62" s="334">
        <v>6235373.3838</v>
      </c>
      <c r="E62" s="334">
        <v>56</v>
      </c>
      <c r="F62" s="334">
        <v>2158986.1721999999</v>
      </c>
    </row>
    <row r="63" spans="1:6">
      <c r="A63" s="348" t="s">
        <v>49</v>
      </c>
      <c r="B63" s="348" t="s">
        <v>29</v>
      </c>
      <c r="C63" s="334">
        <v>88</v>
      </c>
      <c r="D63" s="334">
        <v>3139559.8190000001</v>
      </c>
      <c r="E63" s="334">
        <v>87</v>
      </c>
      <c r="F63" s="334">
        <v>2287837.5690000001</v>
      </c>
    </row>
    <row r="64" spans="1:6">
      <c r="A64" s="348" t="s">
        <v>56</v>
      </c>
      <c r="B64" s="348" t="s">
        <v>57</v>
      </c>
      <c r="C64" s="334">
        <v>0</v>
      </c>
      <c r="D64" s="334">
        <v>0</v>
      </c>
      <c r="E64" s="334">
        <v>0</v>
      </c>
      <c r="F64" s="334">
        <v>0</v>
      </c>
    </row>
    <row r="65" spans="1:6">
      <c r="A65" s="348" t="s">
        <v>56</v>
      </c>
      <c r="B65" s="348" t="s">
        <v>29</v>
      </c>
      <c r="C65" s="334">
        <v>5</v>
      </c>
      <c r="D65" s="334">
        <v>258151.36942</v>
      </c>
      <c r="E65" s="334">
        <v>2</v>
      </c>
      <c r="F65" s="334">
        <v>15364</v>
      </c>
    </row>
    <row r="66" spans="1:6">
      <c r="A66" s="348" t="s">
        <v>56</v>
      </c>
      <c r="B66" s="348" t="s">
        <v>58</v>
      </c>
      <c r="C66" s="334">
        <v>4</v>
      </c>
      <c r="D66" s="334">
        <v>570590.49034999998</v>
      </c>
      <c r="E66" s="334">
        <v>18</v>
      </c>
      <c r="F66" s="334">
        <v>746235.95713</v>
      </c>
    </row>
    <row r="67" spans="1:6">
      <c r="A67" s="355" t="s">
        <v>56</v>
      </c>
      <c r="B67" s="355" t="s">
        <v>59</v>
      </c>
      <c r="C67" s="334">
        <v>0</v>
      </c>
      <c r="D67" s="334">
        <v>0</v>
      </c>
      <c r="E67" s="334">
        <v>0</v>
      </c>
      <c r="F67" s="334">
        <v>0</v>
      </c>
    </row>
    <row r="68" spans="1:6">
      <c r="A68" s="341" t="s">
        <v>56</v>
      </c>
      <c r="B68" s="341" t="s">
        <v>60</v>
      </c>
      <c r="C68" s="334">
        <v>7</v>
      </c>
      <c r="D68" s="334">
        <v>620619.27303000004</v>
      </c>
      <c r="E68" s="334">
        <v>26</v>
      </c>
      <c r="F68" s="334">
        <v>673924.69816000003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162851117</v>
      </c>
      <c r="E73" s="476">
        <v>173768704.39472911</v>
      </c>
    </row>
    <row r="74" spans="1:6">
      <c r="A74" s="348" t="s">
        <v>64</v>
      </c>
      <c r="B74" s="348" t="s">
        <v>667</v>
      </c>
      <c r="C74" s="1212" t="s">
        <v>669</v>
      </c>
      <c r="D74" s="476">
        <v>17779694.34869083</v>
      </c>
      <c r="E74" s="476">
        <v>18351861.508711409</v>
      </c>
    </row>
    <row r="75" spans="1:6">
      <c r="A75" s="348" t="s">
        <v>65</v>
      </c>
      <c r="B75" s="348" t="s">
        <v>666</v>
      </c>
      <c r="C75" s="1212" t="s">
        <v>670</v>
      </c>
      <c r="D75" s="476">
        <v>34453048</v>
      </c>
      <c r="E75" s="476">
        <v>37058091.077599831</v>
      </c>
    </row>
    <row r="76" spans="1:6">
      <c r="A76" s="348" t="s">
        <v>65</v>
      </c>
      <c r="B76" s="348" t="s">
        <v>667</v>
      </c>
      <c r="C76" s="1212" t="s">
        <v>671</v>
      </c>
      <c r="D76" s="476">
        <v>664178.34869082877</v>
      </c>
      <c r="E76" s="476">
        <v>705206.75228192704</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701305.30261834257</v>
      </c>
      <c r="C83" s="476">
        <v>701305.30261834257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4545.4419211488803</v>
      </c>
    </row>
    <row r="92" spans="1:6">
      <c r="A92" s="341" t="s">
        <v>69</v>
      </c>
      <c r="B92" s="342">
        <v>12078.541220644865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3773</v>
      </c>
    </row>
    <row r="98" spans="1:6">
      <c r="A98" s="348" t="s">
        <v>72</v>
      </c>
      <c r="B98" s="334">
        <v>0</v>
      </c>
    </row>
    <row r="99" spans="1:6">
      <c r="A99" s="348" t="s">
        <v>73</v>
      </c>
      <c r="B99" s="334">
        <v>254</v>
      </c>
    </row>
    <row r="100" spans="1:6">
      <c r="A100" s="348" t="s">
        <v>74</v>
      </c>
      <c r="B100" s="334">
        <v>1056</v>
      </c>
    </row>
    <row r="101" spans="1:6">
      <c r="A101" s="348" t="s">
        <v>75</v>
      </c>
      <c r="B101" s="334">
        <v>140</v>
      </c>
    </row>
    <row r="102" spans="1:6">
      <c r="A102" s="348" t="s">
        <v>76</v>
      </c>
      <c r="B102" s="334">
        <v>192</v>
      </c>
    </row>
    <row r="103" spans="1:6">
      <c r="A103" s="348" t="s">
        <v>77</v>
      </c>
      <c r="B103" s="334">
        <v>423</v>
      </c>
    </row>
    <row r="104" spans="1:6">
      <c r="A104" s="348" t="s">
        <v>78</v>
      </c>
      <c r="B104" s="334">
        <v>5315</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15" t="s">
        <v>650</v>
      </c>
      <c r="B111" s="1216">
        <v>2</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25</v>
      </c>
      <c r="C123" s="334">
        <v>107</v>
      </c>
    </row>
    <row r="124" spans="1:6">
      <c r="A124" s="341" t="s">
        <v>89</v>
      </c>
      <c r="B124" s="334">
        <v>1</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400</v>
      </c>
    </row>
    <row r="130" spans="1:6">
      <c r="A130" s="348" t="s">
        <v>295</v>
      </c>
      <c r="B130" s="334">
        <v>3</v>
      </c>
    </row>
    <row r="131" spans="1:6">
      <c r="A131" s="348" t="s">
        <v>296</v>
      </c>
      <c r="B131" s="334">
        <v>2</v>
      </c>
    </row>
    <row r="132" spans="1:6">
      <c r="A132" s="341" t="s">
        <v>297</v>
      </c>
      <c r="B132" s="342">
        <v>28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275247.17906454526</v>
      </c>
      <c r="C3" s="43" t="s">
        <v>170</v>
      </c>
      <c r="D3" s="43"/>
      <c r="E3" s="154"/>
      <c r="F3" s="43"/>
      <c r="G3" s="43"/>
      <c r="H3" s="43"/>
      <c r="I3" s="43"/>
      <c r="J3" s="43"/>
      <c r="K3" s="96"/>
    </row>
    <row r="4" spans="1:11">
      <c r="A4" s="383" t="s">
        <v>171</v>
      </c>
      <c r="B4" s="49">
        <f>IF(ISERROR('SEAP template'!B69),0,'SEAP template'!B69)</f>
        <v>20594.333141793744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943.2494113402131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0.20789142528087418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1355.1354458026442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5704.0714285714284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0.2375733654061262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2408.2570000000001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2408.2570000000001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0.20789142528087418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500.65598017264222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49175.607069999998</v>
      </c>
      <c r="C5" s="17">
        <f>IF(ISERROR('Eigen informatie GS &amp; warmtenet'!B57),0,'Eigen informatie GS &amp; warmtenet'!B57)</f>
        <v>0</v>
      </c>
      <c r="D5" s="30">
        <f>(SUM(HH_hh_gas_kWh,HH_rest_gas_kWh)/1000)*0.902</f>
        <v>105821.54153538001</v>
      </c>
      <c r="E5" s="17">
        <f>B46*B57</f>
        <v>14594.53370600663</v>
      </c>
      <c r="F5" s="17">
        <f>B51*B62</f>
        <v>35963.098523837129</v>
      </c>
      <c r="G5" s="18"/>
      <c r="H5" s="17"/>
      <c r="I5" s="17"/>
      <c r="J5" s="17">
        <f>B50*B61+C50*C61</f>
        <v>0</v>
      </c>
      <c r="K5" s="17"/>
      <c r="L5" s="17"/>
      <c r="M5" s="17"/>
      <c r="N5" s="17">
        <f>B48*B59+C48*C59</f>
        <v>22846.14714171282</v>
      </c>
      <c r="O5" s="17">
        <f>B69*B70*B71</f>
        <v>797.30000000000007</v>
      </c>
      <c r="P5" s="17">
        <f>B77*B78*B79/1000-B77*B78*B79/1000/B80</f>
        <v>1029.5999999999999</v>
      </c>
    </row>
    <row r="6" spans="1:16">
      <c r="A6" s="16" t="s">
        <v>624</v>
      </c>
      <c r="B6" s="843">
        <f>kWh_PV_kleiner_dan_10kW</f>
        <v>4545.4419211488803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53721.048991148877</v>
      </c>
      <c r="C8" s="21">
        <f>C5</f>
        <v>0</v>
      </c>
      <c r="D8" s="21">
        <f>D5</f>
        <v>105821.54153538001</v>
      </c>
      <c r="E8" s="21">
        <f>E5</f>
        <v>14594.53370600663</v>
      </c>
      <c r="F8" s="21">
        <f>F5</f>
        <v>35963.098523837129</v>
      </c>
      <c r="G8" s="21"/>
      <c r="H8" s="21"/>
      <c r="I8" s="21"/>
      <c r="J8" s="21">
        <f>J5</f>
        <v>0</v>
      </c>
      <c r="K8" s="21"/>
      <c r="L8" s="21">
        <f>L5</f>
        <v>0</v>
      </c>
      <c r="M8" s="21">
        <f>M5</f>
        <v>0</v>
      </c>
      <c r="N8" s="21">
        <f>N5</f>
        <v>22846.14714171282</v>
      </c>
      <c r="O8" s="21">
        <f>O5</f>
        <v>797.30000000000007</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0.20789142528087418</v>
      </c>
      <c r="C10" s="25">
        <f ca="1">'EF ele_warmte'!B22</f>
        <v>0.2375733654061262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11168.145442353607</v>
      </c>
      <c r="C12" s="23">
        <f ca="1">C10*C8</f>
        <v>0</v>
      </c>
      <c r="D12" s="23">
        <f>D8*D10</f>
        <v>21375.951390146762</v>
      </c>
      <c r="E12" s="23">
        <f>E10*E8</f>
        <v>3312.9591512635052</v>
      </c>
      <c r="F12" s="23">
        <f>F10*F8</f>
        <v>9602.1473058645133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3773</v>
      </c>
      <c r="C18" s="166" t="s">
        <v>111</v>
      </c>
      <c r="D18" s="228"/>
      <c r="E18" s="15"/>
    </row>
    <row r="19" spans="1:7">
      <c r="A19" s="171" t="s">
        <v>72</v>
      </c>
      <c r="B19" s="37">
        <f>aantalw2001_ander</f>
        <v>0</v>
      </c>
      <c r="C19" s="166" t="s">
        <v>111</v>
      </c>
      <c r="D19" s="229"/>
      <c r="E19" s="15"/>
    </row>
    <row r="20" spans="1:7">
      <c r="A20" s="171" t="s">
        <v>73</v>
      </c>
      <c r="B20" s="37">
        <f>aantalw2001_propaan</f>
        <v>254</v>
      </c>
      <c r="C20" s="167">
        <f>IF(ISERROR(B20/SUM($B$20,$B$21,$B$22)*100),0,B20/SUM($B$20,$B$21,$B$22)*100)</f>
        <v>17.517241379310345</v>
      </c>
      <c r="D20" s="229"/>
      <c r="E20" s="15"/>
    </row>
    <row r="21" spans="1:7">
      <c r="A21" s="171" t="s">
        <v>74</v>
      </c>
      <c r="B21" s="37">
        <f>aantalw2001_elektriciteit</f>
        <v>1056</v>
      </c>
      <c r="C21" s="167">
        <f>IF(ISERROR(B21/SUM($B$20,$B$21,$B$22)*100),0,B21/SUM($B$20,$B$21,$B$22)*100)</f>
        <v>72.827586206896555</v>
      </c>
      <c r="D21" s="229"/>
      <c r="E21" s="15"/>
    </row>
    <row r="22" spans="1:7">
      <c r="A22" s="171" t="s">
        <v>75</v>
      </c>
      <c r="B22" s="37">
        <f>aantalw2001_hout</f>
        <v>140</v>
      </c>
      <c r="C22" s="167">
        <f>IF(ISERROR(B22/SUM($B$20,$B$21,$B$22)*100),0,B22/SUM($B$20,$B$21,$B$22)*100)</f>
        <v>9.6551724137931032</v>
      </c>
      <c r="D22" s="229"/>
      <c r="E22" s="15"/>
    </row>
    <row r="23" spans="1:7">
      <c r="A23" s="171" t="s">
        <v>76</v>
      </c>
      <c r="B23" s="37">
        <f>aantalw2001_niet_gespec</f>
        <v>192</v>
      </c>
      <c r="C23" s="166" t="s">
        <v>111</v>
      </c>
      <c r="D23" s="228"/>
      <c r="E23" s="15"/>
    </row>
    <row r="24" spans="1:7">
      <c r="A24" s="171" t="s">
        <v>77</v>
      </c>
      <c r="B24" s="37">
        <f>aantalw2001_steenkool</f>
        <v>423</v>
      </c>
      <c r="C24" s="166" t="s">
        <v>111</v>
      </c>
      <c r="D24" s="229"/>
      <c r="E24" s="15"/>
    </row>
    <row r="25" spans="1:7">
      <c r="A25" s="171" t="s">
        <v>78</v>
      </c>
      <c r="B25" s="37">
        <f>aantalw2001_stookolie</f>
        <v>5315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13252</v>
      </c>
      <c r="C28" s="36"/>
      <c r="D28" s="228"/>
    </row>
    <row r="29" spans="1:7" s="15" customFormat="1">
      <c r="A29" s="230" t="s">
        <v>699</v>
      </c>
      <c r="B29" s="37">
        <f>SUM(HH_hh_gas_aantal,HH_rest_gas_aantal)</f>
        <v>8037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8037</v>
      </c>
      <c r="C32" s="167">
        <f>IF(ISERROR(B32/SUM($B$32,$B$34,$B$35,$B$36,$B$38,$B$39)*100),0,B32/SUM($B$32,$B$34,$B$35,$B$36,$B$38,$B$39)*100)</f>
        <v>60.895590240945609</v>
      </c>
      <c r="D32" s="233"/>
      <c r="G32" s="15"/>
    </row>
    <row r="33" spans="1:7">
      <c r="A33" s="171" t="s">
        <v>72</v>
      </c>
      <c r="B33" s="34" t="s">
        <v>111</v>
      </c>
      <c r="C33" s="167"/>
      <c r="D33" s="233"/>
      <c r="G33" s="15"/>
    </row>
    <row r="34" spans="1:7">
      <c r="A34" s="171" t="s">
        <v>73</v>
      </c>
      <c r="B34" s="33">
        <f>IF((($B$28-$B$32-$B$39-$B$77-$B$38)*C20/100)&lt;0,0,($B$28-$B$32-$B$39-$B$77-$B$38)*C20/100)</f>
        <v>645.2651034482758</v>
      </c>
      <c r="C34" s="167">
        <f>IF(ISERROR(B34/SUM($B$32,$B$34,$B$35,$B$36,$B$38,$B$39)*100),0,B34/SUM($B$32,$B$34,$B$35,$B$36,$B$38,$B$39)*100)</f>
        <v>4.8891127704824662</v>
      </c>
      <c r="D34" s="233"/>
      <c r="G34" s="15"/>
    </row>
    <row r="35" spans="1:7">
      <c r="A35" s="171" t="s">
        <v>74</v>
      </c>
      <c r="B35" s="33">
        <f>IF((($B$28-$B$32-$B$39-$B$77-$B$38)*C21/100)&lt;0,0,($B$28-$B$32-$B$39-$B$77-$B$38)*C21/100)</f>
        <v>2682.6769655172416</v>
      </c>
      <c r="C35" s="167">
        <f>IF(ISERROR(B35/SUM($B$32,$B$34,$B$35,$B$36,$B$38,$B$39)*100),0,B35/SUM($B$32,$B$34,$B$35,$B$36,$B$38,$B$39)*100)</f>
        <v>20.326390100903485</v>
      </c>
      <c r="D35" s="233"/>
      <c r="G35" s="15"/>
    </row>
    <row r="36" spans="1:7">
      <c r="A36" s="171" t="s">
        <v>75</v>
      </c>
      <c r="B36" s="33">
        <f>IF((($B$28-$B$32-$B$39-$B$77-$B$38)*C22/100)&lt;0,0,($B$28-$B$32-$B$39-$B$77-$B$38)*C22/100)</f>
        <v>355.65793103448277</v>
      </c>
      <c r="C36" s="167">
        <f>IF(ISERROR(B36/SUM($B$32,$B$34,$B$35,$B$36,$B$38,$B$39)*100),0,B36/SUM($B$32,$B$34,$B$35,$B$36,$B$38,$B$39)*100)</f>
        <v>2.6947865664076591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1477.4</v>
      </c>
      <c r="C39" s="167">
        <f>IF(ISERROR(B39/SUM($B$32,$B$34,$B$35,$B$36,$B$38,$B$39)*100),0,B39/SUM($B$32,$B$34,$B$35,$B$36,$B$38,$B$39)*100)</f>
        <v>11.194120321260799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8037</v>
      </c>
      <c r="C44" s="34" t="s">
        <v>111</v>
      </c>
      <c r="D44" s="174"/>
    </row>
    <row r="45" spans="1:7">
      <c r="A45" s="171" t="s">
        <v>72</v>
      </c>
      <c r="B45" s="33" t="str">
        <f t="shared" si="0"/>
        <v>-</v>
      </c>
      <c r="C45" s="34" t="s">
        <v>111</v>
      </c>
      <c r="D45" s="174"/>
    </row>
    <row r="46" spans="1:7">
      <c r="A46" s="171" t="s">
        <v>73</v>
      </c>
      <c r="B46" s="33">
        <f t="shared" si="0"/>
        <v>645.2651034482758</v>
      </c>
      <c r="C46" s="34" t="s">
        <v>111</v>
      </c>
      <c r="D46" s="174"/>
    </row>
    <row r="47" spans="1:7">
      <c r="A47" s="171" t="s">
        <v>74</v>
      </c>
      <c r="B47" s="33">
        <f t="shared" si="0"/>
        <v>2682.6769655172416</v>
      </c>
      <c r="C47" s="34" t="s">
        <v>111</v>
      </c>
      <c r="D47" s="174"/>
    </row>
    <row r="48" spans="1:7">
      <c r="A48" s="171" t="s">
        <v>75</v>
      </c>
      <c r="B48" s="33">
        <f t="shared" si="0"/>
        <v>355.65793103448277</v>
      </c>
      <c r="C48" s="33">
        <f>B48*10</f>
        <v>3556.5793103448277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1477.4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51147.928442400007</v>
      </c>
      <c r="C5" s="17">
        <f>IF(ISERROR('Eigen informatie GS &amp; warmtenet'!B58),0,'Eigen informatie GS &amp; warmtenet'!B58)</f>
        <v>0</v>
      </c>
      <c r="D5" s="30">
        <f>SUM(D6:D12)</f>
        <v>101970.69773884841</v>
      </c>
      <c r="E5" s="17">
        <f>SUM(E6:E12)</f>
        <v>1008.3108484062581</v>
      </c>
      <c r="F5" s="17">
        <f>SUM(F6:F12)</f>
        <v>12678.184614650672</v>
      </c>
      <c r="G5" s="18"/>
      <c r="H5" s="17"/>
      <c r="I5" s="17"/>
      <c r="J5" s="17">
        <f>SUM(J6:J12)</f>
        <v>0</v>
      </c>
      <c r="K5" s="17"/>
      <c r="L5" s="17"/>
      <c r="M5" s="17"/>
      <c r="N5" s="17">
        <f>SUM(N6:N12)</f>
        <v>4752.3597826341247</v>
      </c>
      <c r="O5" s="17">
        <f>B38*B39*B40</f>
        <v>4.6900000000000004</v>
      </c>
      <c r="P5" s="17">
        <f>B46*B47*B48/1000-B46*B47*B48/1000/B49</f>
        <v>57.2</v>
      </c>
      <c r="R5" s="32"/>
    </row>
    <row r="6" spans="1:18">
      <c r="A6" s="32" t="s">
        <v>54</v>
      </c>
      <c r="B6" s="37">
        <f>B26</f>
        <v>9873.0242797999999</v>
      </c>
      <c r="C6" s="33"/>
      <c r="D6" s="37">
        <f>IF(ISERROR(TER_kantoor_gas_kWh/1000),0,TER_kantoor_gas_kWh/1000)*0.902</f>
        <v>64419.044045840012</v>
      </c>
      <c r="E6" s="33">
        <f>$C$26*'E Balans VL '!I12/100/3.6*1000000</f>
        <v>129.25004962498443</v>
      </c>
      <c r="F6" s="33">
        <f>$C$26*('E Balans VL '!L12+'E Balans VL '!N12)/100/3.6*1000000</f>
        <v>2517.5191673271902</v>
      </c>
      <c r="G6" s="34"/>
      <c r="H6" s="33"/>
      <c r="I6" s="33"/>
      <c r="J6" s="33">
        <f>$C$26*('E Balans VL '!D12+'E Balans VL '!E12)/100/3.6*1000000</f>
        <v>0</v>
      </c>
      <c r="K6" s="33"/>
      <c r="L6" s="33"/>
      <c r="M6" s="33"/>
      <c r="N6" s="33">
        <f>$C$26*'E Balans VL '!Y12/100/3.6*1000000</f>
        <v>9.9062711602353115</v>
      </c>
      <c r="O6" s="33"/>
      <c r="P6" s="33"/>
      <c r="R6" s="32"/>
    </row>
    <row r="7" spans="1:18">
      <c r="A7" s="32" t="s">
        <v>53</v>
      </c>
      <c r="B7" s="37">
        <f t="shared" ref="B7:B12" si="0">B27</f>
        <v>4910.0886421999994</v>
      </c>
      <c r="C7" s="33"/>
      <c r="D7" s="37">
        <f>IF(ISERROR(TER_horeca_gas_kWh/1000),0,TER_horeca_gas_kWh/1000)*0.902</f>
        <v>5236.4404915372006</v>
      </c>
      <c r="E7" s="33">
        <f>$C$27*'E Balans VL '!I9/100/3.6*1000000</f>
        <v>162.49406698952836</v>
      </c>
      <c r="F7" s="33">
        <f>$C$27*('E Balans VL '!L9+'E Balans VL '!N9)/100/3.6*1000000</f>
        <v>2111.3192984069633</v>
      </c>
      <c r="G7" s="34"/>
      <c r="H7" s="33"/>
      <c r="I7" s="33"/>
      <c r="J7" s="33">
        <f>$C$27*('E Balans VL '!D9+'E Balans VL '!E9)/100/3.6*1000000</f>
        <v>0</v>
      </c>
      <c r="K7" s="33"/>
      <c r="L7" s="33"/>
      <c r="M7" s="33"/>
      <c r="N7" s="33">
        <f>$C$27*'E Balans VL '!Y9/100/3.6*1000000</f>
        <v>1.1819296384894029</v>
      </c>
      <c r="O7" s="33"/>
      <c r="P7" s="33"/>
      <c r="R7" s="32"/>
    </row>
    <row r="8" spans="1:18">
      <c r="A8" s="6" t="s">
        <v>52</v>
      </c>
      <c r="B8" s="37">
        <f t="shared" si="0"/>
        <v>21016.788392000002</v>
      </c>
      <c r="C8" s="33"/>
      <c r="D8" s="37">
        <f>IF(ISERROR(TER_handel_gas_kWh/1000),0,TER_handel_gas_kWh/1000)*0.902</f>
        <v>9974.0518168280014</v>
      </c>
      <c r="E8" s="33">
        <f>$C$28*'E Balans VL '!I13/100/3.6*1000000</f>
        <v>663.32195434829771</v>
      </c>
      <c r="F8" s="33">
        <f>$C$28*('E Balans VL '!L13+'E Balans VL '!N13)/100/3.6*1000000</f>
        <v>4121.7622863380138</v>
      </c>
      <c r="G8" s="34"/>
      <c r="H8" s="33"/>
      <c r="I8" s="33"/>
      <c r="J8" s="33">
        <f>$C$28*('E Balans VL '!D13+'E Balans VL '!E13)/100/3.6*1000000</f>
        <v>0</v>
      </c>
      <c r="K8" s="33"/>
      <c r="L8" s="33"/>
      <c r="M8" s="33"/>
      <c r="N8" s="33">
        <f>$C$28*'E Balans VL '!Y13/100/3.6*1000000</f>
        <v>24.942847461930089</v>
      </c>
      <c r="O8" s="33"/>
      <c r="P8" s="33"/>
      <c r="R8" s="32"/>
    </row>
    <row r="9" spans="1:18">
      <c r="A9" s="32" t="s">
        <v>51</v>
      </c>
      <c r="B9" s="37">
        <f t="shared" si="0"/>
        <v>5256.1431536</v>
      </c>
      <c r="C9" s="33"/>
      <c r="D9" s="37">
        <f>IF(ISERROR(TER_gezond_gas_kWh/1000),0,TER_gezond_gas_kWh/1000)*0.902</f>
        <v>6496.9762714735998</v>
      </c>
      <c r="E9" s="33">
        <f>$C$29*'E Balans VL '!I10/100/3.6*1000000</f>
        <v>0.67294008871700017</v>
      </c>
      <c r="F9" s="33">
        <f>$C$29*('E Balans VL '!L10+'E Balans VL '!N10)/100/3.6*1000000</f>
        <v>1095.0749240439566</v>
      </c>
      <c r="G9" s="34"/>
      <c r="H9" s="33"/>
      <c r="I9" s="33"/>
      <c r="J9" s="33">
        <f>$C$29*('E Balans VL '!D10+'E Balans VL '!E10)/100/3.6*1000000</f>
        <v>0</v>
      </c>
      <c r="K9" s="33"/>
      <c r="L9" s="33"/>
      <c r="M9" s="33"/>
      <c r="N9" s="33">
        <f>$C$29*'E Balans VL '!Y10/100/3.6*1000000</f>
        <v>61.735885718897428</v>
      </c>
      <c r="O9" s="33"/>
      <c r="P9" s="33"/>
      <c r="R9" s="32"/>
    </row>
    <row r="10" spans="1:18">
      <c r="A10" s="32" t="s">
        <v>50</v>
      </c>
      <c r="B10" s="37">
        <f t="shared" si="0"/>
        <v>5645.0602336000002</v>
      </c>
      <c r="C10" s="33"/>
      <c r="D10" s="37">
        <f>IF(ISERROR(TER_ander_gas_kWh/1000),0,TER_ander_gas_kWh/1000)*0.902</f>
        <v>7387.9953642440005</v>
      </c>
      <c r="E10" s="33">
        <f>$C$30*'E Balans VL '!I14/100/3.6*1000000</f>
        <v>8.4888430674257158</v>
      </c>
      <c r="F10" s="33">
        <f>$C$30*('E Balans VL '!L14+'E Balans VL '!N14)/100/3.6*1000000</f>
        <v>1246.2473333372798</v>
      </c>
      <c r="G10" s="34"/>
      <c r="H10" s="33"/>
      <c r="I10" s="33"/>
      <c r="J10" s="33">
        <f>$C$30*('E Balans VL '!D14+'E Balans VL '!E14)/100/3.6*1000000</f>
        <v>0</v>
      </c>
      <c r="K10" s="33"/>
      <c r="L10" s="33"/>
      <c r="M10" s="33"/>
      <c r="N10" s="33">
        <f>$C$30*'E Balans VL '!Y14/100/3.6*1000000</f>
        <v>4448.6873623069314</v>
      </c>
      <c r="O10" s="33"/>
      <c r="P10" s="33"/>
      <c r="R10" s="32"/>
    </row>
    <row r="11" spans="1:18">
      <c r="A11" s="32" t="s">
        <v>55</v>
      </c>
      <c r="B11" s="37">
        <f t="shared" si="0"/>
        <v>2158.9861722000001</v>
      </c>
      <c r="C11" s="33"/>
      <c r="D11" s="37">
        <f>IF(ISERROR(TER_onderwijs_gas_kWh/1000),0,TER_onderwijs_gas_kWh/1000)*0.902</f>
        <v>5624.3067921876</v>
      </c>
      <c r="E11" s="33">
        <f>$C$31*'E Balans VL '!I11/100/3.6*1000000</f>
        <v>3.8021555716600468</v>
      </c>
      <c r="F11" s="33">
        <f>$C$31*('E Balans VL '!L11+'E Balans VL '!N11)/100/3.6*1000000</f>
        <v>996.84298249491223</v>
      </c>
      <c r="G11" s="34"/>
      <c r="H11" s="33"/>
      <c r="I11" s="33"/>
      <c r="J11" s="33">
        <f>$C$31*('E Balans VL '!D11+'E Balans VL '!E11)/100/3.6*1000000</f>
        <v>0</v>
      </c>
      <c r="K11" s="33"/>
      <c r="L11" s="33"/>
      <c r="M11" s="33"/>
      <c r="N11" s="33">
        <f>$C$31*'E Balans VL '!Y11/100/3.6*1000000</f>
        <v>4.0222210949506145</v>
      </c>
      <c r="O11" s="33"/>
      <c r="P11" s="33"/>
      <c r="R11" s="32"/>
    </row>
    <row r="12" spans="1:18">
      <c r="A12" s="32" t="s">
        <v>260</v>
      </c>
      <c r="B12" s="37">
        <f t="shared" si="0"/>
        <v>2287.8375690000003</v>
      </c>
      <c r="C12" s="33"/>
      <c r="D12" s="37">
        <f>IF(ISERROR(TER_rest_gas_kWh/1000),0,TER_rest_gas_kWh/1000)*0.902</f>
        <v>2831.8829567380003</v>
      </c>
      <c r="E12" s="33">
        <f>$C$32*'E Balans VL '!I8/100/3.6*1000000</f>
        <v>40.280838715644833</v>
      </c>
      <c r="F12" s="33">
        <f>$C$32*('E Balans VL '!L8+'E Balans VL '!N8)/100/3.6*1000000</f>
        <v>589.41862270235538</v>
      </c>
      <c r="G12" s="34"/>
      <c r="H12" s="33"/>
      <c r="I12" s="33"/>
      <c r="J12" s="33">
        <f>$C$32*('E Balans VL '!D8+'E Balans VL '!E8)/100/3.6*1000000</f>
        <v>0</v>
      </c>
      <c r="K12" s="33"/>
      <c r="L12" s="33"/>
      <c r="M12" s="33"/>
      <c r="N12" s="33">
        <f>$C$32*'E Balans VL '!Y8/100/3.6*1000000</f>
        <v>201.88326525269034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51147.928442400007</v>
      </c>
      <c r="C16" s="21">
        <f t="shared" ca="1" si="1"/>
        <v>0</v>
      </c>
      <c r="D16" s="21">
        <f t="shared" ca="1" si="1"/>
        <v>101970.69773884841</v>
      </c>
      <c r="E16" s="21">
        <f t="shared" si="1"/>
        <v>1008.3108484062581</v>
      </c>
      <c r="F16" s="21">
        <f t="shared" ca="1" si="1"/>
        <v>12678.184614650672</v>
      </c>
      <c r="G16" s="21">
        <f t="shared" si="1"/>
        <v>0</v>
      </c>
      <c r="H16" s="21">
        <f t="shared" si="1"/>
        <v>0</v>
      </c>
      <c r="I16" s="21">
        <f t="shared" si="1"/>
        <v>0</v>
      </c>
      <c r="J16" s="21">
        <f t="shared" si="1"/>
        <v>0</v>
      </c>
      <c r="K16" s="21">
        <f t="shared" si="1"/>
        <v>0</v>
      </c>
      <c r="L16" s="21">
        <f t="shared" ca="1" si="1"/>
        <v>0</v>
      </c>
      <c r="M16" s="21">
        <f t="shared" si="1"/>
        <v>0</v>
      </c>
      <c r="N16" s="21">
        <f t="shared" ca="1" si="1"/>
        <v>4752.3597826341247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0.20789142528087418</v>
      </c>
      <c r="C18" s="25">
        <f ca="1">'EF ele_warmte'!B22</f>
        <v>0.2375733654061262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10633.2157440547</v>
      </c>
      <c r="C20" s="23">
        <f t="shared" ref="C20:P20" ca="1" si="2">C16*C18</f>
        <v>0</v>
      </c>
      <c r="D20" s="23">
        <f t="shared" ca="1" si="2"/>
        <v>20598.08094324738</v>
      </c>
      <c r="E20" s="23">
        <f t="shared" si="2"/>
        <v>228.88656258822058</v>
      </c>
      <c r="F20" s="23">
        <f t="shared" ca="1" si="2"/>
        <v>3385.0752921117296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9873.0242797999999</v>
      </c>
      <c r="C26" s="39">
        <f>IF(ISERROR(B26*3.6/1000000/'E Balans VL '!Z12*100),0,B26*3.6/1000000/'E Balans VL '!Z12*100)</f>
        <v>0.21148785012721069</v>
      </c>
      <c r="D26" s="237" t="s">
        <v>660</v>
      </c>
      <c r="F26" s="6"/>
    </row>
    <row r="27" spans="1:18">
      <c r="A27" s="231" t="s">
        <v>53</v>
      </c>
      <c r="B27" s="33">
        <f>IF(ISERROR(TER_horeca_ele_kWh/1000),0,TER_horeca_ele_kWh/1000)</f>
        <v>4910.0886421999994</v>
      </c>
      <c r="C27" s="39">
        <f>IF(ISERROR(B27*3.6/1000000/'E Balans VL '!Z9*100),0,B27*3.6/1000000/'E Balans VL '!Z9*100)</f>
        <v>0.39401754624263835</v>
      </c>
      <c r="D27" s="237" t="s">
        <v>660</v>
      </c>
      <c r="F27" s="6"/>
    </row>
    <row r="28" spans="1:18">
      <c r="A28" s="171" t="s">
        <v>52</v>
      </c>
      <c r="B28" s="33">
        <f>IF(ISERROR(TER_handel_ele_kWh/1000),0,TER_handel_ele_kWh/1000)</f>
        <v>21016.788392000002</v>
      </c>
      <c r="C28" s="39">
        <f>IF(ISERROR(B28*3.6/1000000/'E Balans VL '!Z13*100),0,B28*3.6/1000000/'E Balans VL '!Z13*100)</f>
        <v>0.61987471007403228</v>
      </c>
      <c r="D28" s="237" t="s">
        <v>660</v>
      </c>
      <c r="F28" s="6"/>
    </row>
    <row r="29" spans="1:18">
      <c r="A29" s="231" t="s">
        <v>51</v>
      </c>
      <c r="B29" s="33">
        <f>IF(ISERROR(TER_gezond_ele_kWh/1000),0,TER_gezond_ele_kWh/1000)</f>
        <v>5256.1431536</v>
      </c>
      <c r="C29" s="39">
        <f>IF(ISERROR(B29*3.6/1000000/'E Balans VL '!Z10*100),0,B29*3.6/1000000/'E Balans VL '!Z10*100)</f>
        <v>0.56121516632198243</v>
      </c>
      <c r="D29" s="237" t="s">
        <v>660</v>
      </c>
      <c r="F29" s="6"/>
    </row>
    <row r="30" spans="1:18">
      <c r="A30" s="231" t="s">
        <v>50</v>
      </c>
      <c r="B30" s="33">
        <f>IF(ISERROR(TER_ander_ele_kWh/1000),0,TER_ander_ele_kWh/1000)</f>
        <v>5645.0602336000002</v>
      </c>
      <c r="C30" s="39">
        <f>IF(ISERROR(B30*3.6/1000000/'E Balans VL '!Z14*100),0,B30*3.6/1000000/'E Balans VL '!Z14*100)</f>
        <v>0.42639356670119188</v>
      </c>
      <c r="D30" s="237" t="s">
        <v>660</v>
      </c>
      <c r="F30" s="6"/>
    </row>
    <row r="31" spans="1:18">
      <c r="A31" s="231" t="s">
        <v>55</v>
      </c>
      <c r="B31" s="33">
        <f>IF(ISERROR(TER_onderwijs_ele_kWh/1000),0,TER_onderwijs_ele_kWh/1000)</f>
        <v>2158.9861722000001</v>
      </c>
      <c r="C31" s="39">
        <f>IF(ISERROR(B31*3.6/1000000/'E Balans VL '!Z11*100),0,B31*3.6/1000000/'E Balans VL '!Z11*100)</f>
        <v>0.43597138069351421</v>
      </c>
      <c r="D31" s="237" t="s">
        <v>660</v>
      </c>
    </row>
    <row r="32" spans="1:18">
      <c r="A32" s="231" t="s">
        <v>260</v>
      </c>
      <c r="B32" s="33">
        <f>IF(ISERROR(TER_rest_ele_kWh/1000),0,TER_rest_ele_kWh/1000)</f>
        <v>2287.8375690000003</v>
      </c>
      <c r="C32" s="39">
        <f>IF(ISERROR(B32*3.6/1000000/'E Balans VL '!Z8*100),0,B32*3.6/1000000/'E Balans VL '!Z8*100)</f>
        <v>1.8969359237842161E-2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162249.93484844</v>
      </c>
      <c r="C5" s="17">
        <f>IF(ISERROR('Eigen informatie GS &amp; warmtenet'!B59),0,'Eigen informatie GS &amp; warmtenet'!B59)</f>
        <v>0</v>
      </c>
      <c r="D5" s="30">
        <f>SUM(D6:D15)</f>
        <v>190791.18257817486</v>
      </c>
      <c r="E5" s="17">
        <f>SUM(E6:E15)</f>
        <v>10507.952668852573</v>
      </c>
      <c r="F5" s="17">
        <f>SUM(F6:F15)</f>
        <v>43130.33434535782</v>
      </c>
      <c r="G5" s="18"/>
      <c r="H5" s="17"/>
      <c r="I5" s="17"/>
      <c r="J5" s="17">
        <f>SUM(J6:J15)</f>
        <v>1149.7543952081842</v>
      </c>
      <c r="K5" s="17"/>
      <c r="L5" s="17"/>
      <c r="M5" s="17"/>
      <c r="N5" s="17">
        <f>SUM(N6:N15)</f>
        <v>35807.352495369727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3680.0162017000002</v>
      </c>
      <c r="C8" s="33"/>
      <c r="D8" s="37">
        <f>IF( ISERROR(IND_metaal_Gas_kWH/1000),0,IND_metaal_Gas_kWH/1000)*0.902</f>
        <v>1130.0000840435998</v>
      </c>
      <c r="E8" s="33">
        <f>C30*'E Balans VL '!I18/100/3.6*1000000</f>
        <v>132.4181157408467</v>
      </c>
      <c r="F8" s="33">
        <f>C30*'E Balans VL '!L18/100/3.6*1000000+C30*'E Balans VL '!N18/100/3.6*1000000</f>
        <v>1606.9437819918808</v>
      </c>
      <c r="G8" s="34"/>
      <c r="H8" s="33"/>
      <c r="I8" s="33"/>
      <c r="J8" s="40">
        <f>C30*'E Balans VL '!D18/100/3.6*1000000+C30*'E Balans VL '!E18/100/3.6*1000000</f>
        <v>0</v>
      </c>
      <c r="K8" s="33"/>
      <c r="L8" s="33"/>
      <c r="M8" s="33"/>
      <c r="N8" s="33">
        <f>C30*'E Balans VL '!Y18/100/3.6*1000000</f>
        <v>184.43991119320737</v>
      </c>
      <c r="O8" s="33"/>
      <c r="P8" s="33"/>
      <c r="R8" s="32"/>
    </row>
    <row r="9" spans="1:18">
      <c r="A9" s="6" t="s">
        <v>33</v>
      </c>
      <c r="B9" s="37">
        <f t="shared" si="0"/>
        <v>12081.995274000001</v>
      </c>
      <c r="C9" s="33"/>
      <c r="D9" s="37">
        <f>IF( ISERROR(IND_andere_gas_kWh/1000),0,IND_andere_gas_kWh/1000)*0.902</f>
        <v>44717.086611295999</v>
      </c>
      <c r="E9" s="33">
        <f>C31*'E Balans VL '!I19/100/3.6*1000000</f>
        <v>3083.0518311251185</v>
      </c>
      <c r="F9" s="33">
        <f>C31*'E Balans VL '!L19/100/3.6*1000000+C31*'E Balans VL '!N19/100/3.6*1000000</f>
        <v>10401.689812844612</v>
      </c>
      <c r="G9" s="34"/>
      <c r="H9" s="33"/>
      <c r="I9" s="33"/>
      <c r="J9" s="40">
        <f>C31*'E Balans VL '!D19/100/3.6*1000000+C31*'E Balans VL '!E19/100/3.6*1000000</f>
        <v>0</v>
      </c>
      <c r="K9" s="33"/>
      <c r="L9" s="33"/>
      <c r="M9" s="33"/>
      <c r="N9" s="33">
        <f>C31*'E Balans VL '!Y19/100/3.6*1000000</f>
        <v>3778.4536873048114</v>
      </c>
      <c r="O9" s="33"/>
      <c r="P9" s="33"/>
      <c r="R9" s="32"/>
    </row>
    <row r="10" spans="1:18">
      <c r="A10" s="6" t="s">
        <v>41</v>
      </c>
      <c r="B10" s="37">
        <f t="shared" si="0"/>
        <v>8766.2177591</v>
      </c>
      <c r="C10" s="33"/>
      <c r="D10" s="37">
        <f>IF( ISERROR(IND_voed_gas_kWh/1000),0,IND_voed_gas_kWh/1000)*0.902</f>
        <v>17804.553380812002</v>
      </c>
      <c r="E10" s="33">
        <f>C32*'E Balans VL '!I20/100/3.6*1000000</f>
        <v>222.84929243971732</v>
      </c>
      <c r="F10" s="33">
        <f>C32*'E Balans VL '!L20/100/3.6*1000000+C32*'E Balans VL '!N20/100/3.6*1000000</f>
        <v>1983.6634866072404</v>
      </c>
      <c r="G10" s="34"/>
      <c r="H10" s="33"/>
      <c r="I10" s="33"/>
      <c r="J10" s="40">
        <f>C32*'E Balans VL '!D20/100/3.6*1000000+C32*'E Balans VL '!E20/100/3.6*1000000</f>
        <v>0</v>
      </c>
      <c r="K10" s="33"/>
      <c r="L10" s="33"/>
      <c r="M10" s="33"/>
      <c r="N10" s="33">
        <f>C32*'E Balans VL '!Y20/100/3.6*1000000</f>
        <v>3287.5692773412329</v>
      </c>
      <c r="O10" s="33"/>
      <c r="P10" s="33"/>
      <c r="R10" s="32"/>
    </row>
    <row r="11" spans="1:18">
      <c r="A11" s="6" t="s">
        <v>40</v>
      </c>
      <c r="B11" s="37">
        <f t="shared" si="0"/>
        <v>260.23093674</v>
      </c>
      <c r="C11" s="33"/>
      <c r="D11" s="37">
        <f>IF( ISERROR(IND_textiel_gas_kWh/1000),0,IND_textiel_gas_kWh/1000)*0.902</f>
        <v>0</v>
      </c>
      <c r="E11" s="33">
        <f>C33*'E Balans VL '!I21/100/3.6*1000000</f>
        <v>0.71440390339651449</v>
      </c>
      <c r="F11" s="33">
        <f>C33*'E Balans VL '!L21/100/3.6*1000000+C33*'E Balans VL '!N21/100/3.6*1000000</f>
        <v>13.796359743896458</v>
      </c>
      <c r="G11" s="34"/>
      <c r="H11" s="33"/>
      <c r="I11" s="33"/>
      <c r="J11" s="40">
        <f>C33*'E Balans VL '!D21/100/3.6*1000000+C33*'E Balans VL '!E21/100/3.6*1000000</f>
        <v>0</v>
      </c>
      <c r="K11" s="33"/>
      <c r="L11" s="33"/>
      <c r="M11" s="33"/>
      <c r="N11" s="33">
        <f>C33*'E Balans VL '!Y21/100/3.6*1000000</f>
        <v>0.52302111915375948</v>
      </c>
      <c r="O11" s="33"/>
      <c r="P11" s="33"/>
      <c r="R11" s="32"/>
    </row>
    <row r="12" spans="1:18">
      <c r="A12" s="6" t="s">
        <v>37</v>
      </c>
      <c r="B12" s="37">
        <f t="shared" si="0"/>
        <v>9287.3823339999999</v>
      </c>
      <c r="C12" s="33"/>
      <c r="D12" s="37">
        <f>IF( ISERROR(IND_min_gas_kWh/1000),0,IND_min_gas_kWh/1000)*0.902</f>
        <v>0</v>
      </c>
      <c r="E12" s="33">
        <f>C34*'E Balans VL '!I22/100/3.6*1000000</f>
        <v>197.33359835357558</v>
      </c>
      <c r="F12" s="33">
        <f>C34*'E Balans VL '!L22/100/3.6*1000000+C34*'E Balans VL '!N22/100/3.6*1000000</f>
        <v>1515.315575780231</v>
      </c>
      <c r="G12" s="34"/>
      <c r="H12" s="33"/>
      <c r="I12" s="33"/>
      <c r="J12" s="40">
        <f>C34*'E Balans VL '!D22/100/3.6*1000000+C34*'E Balans VL '!E22/100/3.6*1000000</f>
        <v>10.820667122384091</v>
      </c>
      <c r="K12" s="33"/>
      <c r="L12" s="33"/>
      <c r="M12" s="33"/>
      <c r="N12" s="33">
        <f>C34*'E Balans VL '!Y22/100/3.6*1000000</f>
        <v>0</v>
      </c>
      <c r="O12" s="33"/>
      <c r="P12" s="33"/>
      <c r="R12" s="32"/>
    </row>
    <row r="13" spans="1:18">
      <c r="A13" s="6" t="s">
        <v>39</v>
      </c>
      <c r="B13" s="37">
        <f t="shared" si="0"/>
        <v>1696.3963629</v>
      </c>
      <c r="C13" s="33"/>
      <c r="D13" s="37">
        <f>IF( ISERROR(IND_papier_gas_kWh/1000),0,IND_papier_gas_kWh/1000)*0.902</f>
        <v>453.27749870326005</v>
      </c>
      <c r="E13" s="33">
        <f>C35*'E Balans VL '!I23/100/3.6*1000000</f>
        <v>7.2753504886081464</v>
      </c>
      <c r="F13" s="33">
        <f>C35*'E Balans VL '!L23/100/3.6*1000000+C35*'E Balans VL '!N23/100/3.6*1000000</f>
        <v>42.635705878799548</v>
      </c>
      <c r="G13" s="34"/>
      <c r="H13" s="33"/>
      <c r="I13" s="33"/>
      <c r="J13" s="40">
        <f>C35*'E Balans VL '!D23/100/3.6*1000000+C35*'E Balans VL '!E23/100/3.6*1000000</f>
        <v>113.5644321448479</v>
      </c>
      <c r="K13" s="33"/>
      <c r="L13" s="33"/>
      <c r="M13" s="33"/>
      <c r="N13" s="33">
        <f>C35*'E Balans VL '!Y23/100/3.6*1000000</f>
        <v>3087.8447989244669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126477.69598</v>
      </c>
      <c r="C15" s="33"/>
      <c r="D15" s="37">
        <f>IF( ISERROR(IND_rest_gas_kWh/1000),0,IND_rest_gas_kWh/1000)*0.902</f>
        <v>126686.26500332</v>
      </c>
      <c r="E15" s="33">
        <f>C37*'E Balans VL '!I15/100/3.6*1000000</f>
        <v>6864.3100768013101</v>
      </c>
      <c r="F15" s="33">
        <f>C37*'E Balans VL '!L15/100/3.6*1000000+C37*'E Balans VL '!N15/100/3.6*1000000</f>
        <v>27566.289622511162</v>
      </c>
      <c r="G15" s="34"/>
      <c r="H15" s="33"/>
      <c r="I15" s="33"/>
      <c r="J15" s="40">
        <f>C37*'E Balans VL '!D15/100/3.6*1000000+C37*'E Balans VL '!E15/100/3.6*1000000</f>
        <v>1025.3692959409523</v>
      </c>
      <c r="K15" s="33"/>
      <c r="L15" s="33"/>
      <c r="M15" s="33"/>
      <c r="N15" s="33">
        <f>C37*'E Balans VL '!Y15/100/3.6*1000000</f>
        <v>25468.521799486854</v>
      </c>
      <c r="O15" s="33"/>
      <c r="P15" s="33"/>
      <c r="R15" s="32"/>
    </row>
    <row r="16" spans="1:18">
      <c r="A16" s="16" t="s">
        <v>491</v>
      </c>
      <c r="B16" s="247">
        <f>'lokale energieproductie'!N89+'lokale energieproductie'!N58</f>
        <v>3937.5</v>
      </c>
      <c r="C16" s="247">
        <f>'lokale energieproductie'!O89+'lokale energieproductie'!O58</f>
        <v>5625</v>
      </c>
      <c r="D16" s="310">
        <f>('lokale energieproductie'!P58+'lokale energieproductie'!P89)*(-1)</f>
        <v>-11250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166187.43484844</v>
      </c>
      <c r="C18" s="21">
        <f>C5+C16</f>
        <v>5625</v>
      </c>
      <c r="D18" s="21">
        <f>MAX((D5+D16),0)</f>
        <v>179541.18257817486</v>
      </c>
      <c r="E18" s="21">
        <f>MAX((E5+E16),0)</f>
        <v>10507.952668852573</v>
      </c>
      <c r="F18" s="21">
        <f>MAX((F5+F16),0)</f>
        <v>43130.33434535782</v>
      </c>
      <c r="G18" s="21"/>
      <c r="H18" s="21"/>
      <c r="I18" s="21"/>
      <c r="J18" s="21">
        <f>MAX((J5+J16),0)</f>
        <v>1149.7543952081842</v>
      </c>
      <c r="K18" s="21"/>
      <c r="L18" s="21">
        <f>MAX((L5+L16),0)</f>
        <v>0</v>
      </c>
      <c r="M18" s="21"/>
      <c r="N18" s="21">
        <f>MAX((N5+N16),0)</f>
        <v>35807.352495369727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0.20789142528087418</v>
      </c>
      <c r="C20" s="25">
        <f ca="1">'EF ele_warmte'!B22</f>
        <v>0.2375733654061262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34548.942694414611</v>
      </c>
      <c r="C22" s="23">
        <f ca="1">C18*C20</f>
        <v>1336.3501804094599</v>
      </c>
      <c r="D22" s="23">
        <f>D18*D20</f>
        <v>36267.318880791325</v>
      </c>
      <c r="E22" s="23">
        <f>E18*E20</f>
        <v>2385.305255829534</v>
      </c>
      <c r="F22" s="23">
        <f>F18*F20</f>
        <v>11515.799270210538</v>
      </c>
      <c r="G22" s="23"/>
      <c r="H22" s="23"/>
      <c r="I22" s="23"/>
      <c r="J22" s="23">
        <f>J18*J20</f>
        <v>407.01305590369719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3680.0162017000002</v>
      </c>
      <c r="C30" s="39">
        <f>IF(ISERROR(B30*3.6/1000000/'E Balans VL '!Z18*100),0,B30*3.6/1000000/'E Balans VL '!Z18*100)</f>
        <v>0.77971653567225119</v>
      </c>
      <c r="D30" s="237" t="s">
        <v>660</v>
      </c>
    </row>
    <row r="31" spans="1:18">
      <c r="A31" s="6" t="s">
        <v>33</v>
      </c>
      <c r="B31" s="37">
        <f>IF( ISERROR(IND_ander_ele_kWh/1000),0,IND_ander_ele_kWh/1000)</f>
        <v>12081.995274000001</v>
      </c>
      <c r="C31" s="39">
        <f>IF(ISERROR(B31*3.6/1000000/'E Balans VL '!Z19*100),0,B31*3.6/1000000/'E Balans VL '!Z19*100)</f>
        <v>0.50855861524810453</v>
      </c>
      <c r="D31" s="237" t="s">
        <v>660</v>
      </c>
    </row>
    <row r="32" spans="1:18">
      <c r="A32" s="171" t="s">
        <v>41</v>
      </c>
      <c r="B32" s="37">
        <f>IF( ISERROR(IND_voed_ele_kWh/1000),0,IND_voed_ele_kWh/1000)</f>
        <v>8766.2177591</v>
      </c>
      <c r="C32" s="39">
        <f>IF(ISERROR(B32*3.6/1000000/'E Balans VL '!Z20*100),0,B32*3.6/1000000/'E Balans VL '!Z20*100)</f>
        <v>1.464495859590127</v>
      </c>
      <c r="D32" s="237" t="s">
        <v>660</v>
      </c>
    </row>
    <row r="33" spans="1:5">
      <c r="A33" s="171" t="s">
        <v>40</v>
      </c>
      <c r="B33" s="37">
        <f>IF( ISERROR(IND_textiel_ele_kWh/1000),0,IND_textiel_ele_kWh/1000)</f>
        <v>260.23093674</v>
      </c>
      <c r="C33" s="39">
        <f>IF(ISERROR(B33*3.6/1000000/'E Balans VL '!Z21*100),0,B33*3.6/1000000/'E Balans VL '!Z21*100)</f>
        <v>1.5193060832353219E-2</v>
      </c>
      <c r="D33" s="237" t="s">
        <v>660</v>
      </c>
    </row>
    <row r="34" spans="1:5">
      <c r="A34" s="171" t="s">
        <v>37</v>
      </c>
      <c r="B34" s="37">
        <f>IF( ISERROR(IND_min_ele_kWh/1000),0,IND_min_ele_kWh/1000)</f>
        <v>9287.3823339999999</v>
      </c>
      <c r="C34" s="39">
        <f>IF(ISERROR(B34*3.6/1000000/'E Balans VL '!Z22*100),0,B34*3.6/1000000/'E Balans VL '!Z22*100)</f>
        <v>1.1772257975394982</v>
      </c>
      <c r="D34" s="237" t="s">
        <v>660</v>
      </c>
    </row>
    <row r="35" spans="1:5">
      <c r="A35" s="171" t="s">
        <v>39</v>
      </c>
      <c r="B35" s="37">
        <f>IF( ISERROR(IND_papier_ele_kWh/1000),0,IND_papier_ele_kWh/1000)</f>
        <v>1696.3963629</v>
      </c>
      <c r="C35" s="39">
        <f>IF(ISERROR(B35*3.6/1000000/'E Balans VL '!Z22*100),0,B35*3.6/1000000/'E Balans VL '!Z22*100)</f>
        <v>0.21502738763613996</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126477.69598</v>
      </c>
      <c r="C37" s="39">
        <f>IF(ISERROR(B37*3.6/1000000/'E Balans VL '!Z15*100),0,B37*3.6/1000000/'E Balans VL '!Z15*100)</f>
        <v>1.0211034140551041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1736.2744631640001</v>
      </c>
      <c r="C5" s="17">
        <f>'Eigen informatie GS &amp; warmtenet'!B60</f>
        <v>0</v>
      </c>
      <c r="D5" s="30">
        <f>IF(ISERROR(SUM(LB_lb_gas_kWh,LB_rest_gas_kWh,onbekend_gas_kWh)/1000),0,SUM(LB_lb_gas_kWh,LB_rest_gas_kWh,onbekend_gas_kWh)/1000)*0.902</f>
        <v>7699.2062573602007</v>
      </c>
      <c r="E5" s="17">
        <f>B17*'E Balans VL '!I25/3.6*1000000/100</f>
        <v>44.771851881809468</v>
      </c>
      <c r="F5" s="17">
        <f>B17*('E Balans VL '!L25/3.6*1000000+'E Balans VL '!N25/3.6*1000000)/100</f>
        <v>6346.4138202735385</v>
      </c>
      <c r="G5" s="18"/>
      <c r="H5" s="17"/>
      <c r="I5" s="17"/>
      <c r="J5" s="17">
        <f>('E Balans VL '!D25+'E Balans VL '!E25)/3.6*1000000*landbouw!B17/100</f>
        <v>249.95965096235307</v>
      </c>
      <c r="K5" s="17"/>
      <c r="L5" s="17">
        <f>L6*(-1)</f>
        <v>0</v>
      </c>
      <c r="M5" s="17"/>
      <c r="N5" s="17">
        <f>N6*(-1)</f>
        <v>0</v>
      </c>
      <c r="O5" s="17"/>
      <c r="P5" s="17"/>
      <c r="R5" s="32"/>
    </row>
    <row r="6" spans="1:18">
      <c r="A6" s="16" t="s">
        <v>491</v>
      </c>
      <c r="B6" s="17" t="s">
        <v>211</v>
      </c>
      <c r="C6" s="17">
        <f>'lokale energieproductie'!O91+'lokale energieproductie'!O60</f>
        <v>79.071428571428584</v>
      </c>
      <c r="D6" s="310">
        <f>('lokale energieproductie'!P60+'lokale energieproductie'!P91)*(-1)</f>
        <v>-128.14285714285717</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1736.2744631640001</v>
      </c>
      <c r="C8" s="21">
        <f>C5+C6</f>
        <v>79.071428571428584</v>
      </c>
      <c r="D8" s="21">
        <f>MAX((D5+D6),0)</f>
        <v>7571.0634002173438</v>
      </c>
      <c r="E8" s="21">
        <f>MAX((E5+E6),0)</f>
        <v>44.771851881809468</v>
      </c>
      <c r="F8" s="21">
        <f>MAX((F5+F6),0)</f>
        <v>6346.4138202735385</v>
      </c>
      <c r="G8" s="21"/>
      <c r="H8" s="21"/>
      <c r="I8" s="21"/>
      <c r="J8" s="21">
        <f>MAX((J5+J6),0)</f>
        <v>249.95965096235307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0.20789142528087418</v>
      </c>
      <c r="C10" s="31">
        <f ca="1">'EF ele_warmte'!B22</f>
        <v>0.2375733654061262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360.95657282594863</v>
      </c>
      <c r="C12" s="23">
        <f ca="1">C8*C10</f>
        <v>18.78526539318441</v>
      </c>
      <c r="D12" s="23">
        <f>D8*D10</f>
        <v>1529.3548068439036</v>
      </c>
      <c r="E12" s="23">
        <f>E8*E10</f>
        <v>10.163210377170749</v>
      </c>
      <c r="F12" s="23">
        <f>F8*F10</f>
        <v>1694.492490013035</v>
      </c>
      <c r="G12" s="23"/>
      <c r="H12" s="23"/>
      <c r="I12" s="23"/>
      <c r="J12" s="23">
        <f>J8*J10</f>
        <v>88.485716440672988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0.2448262001302865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384.19065928439682</v>
      </c>
      <c r="C26" s="247">
        <f>B26*'GWP N2O_CH4'!B5</f>
        <v>8068.0038449723334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93.635118560418107</v>
      </c>
      <c r="C27" s="247">
        <f>B27*'GWP N2O_CH4'!B5</f>
        <v>1966.3374897687802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5.0695042591136588</v>
      </c>
      <c r="C28" s="247">
        <f>B28*'GWP N2O_CH4'!B4</f>
        <v>1571.5463203252343</v>
      </c>
      <c r="D28" s="50"/>
    </row>
    <row r="29" spans="1:4">
      <c r="A29" s="41" t="s">
        <v>277</v>
      </c>
      <c r="B29" s="247">
        <f>B34*'ha_N2O bodem landbouw'!B4</f>
        <v>25.169709732111698</v>
      </c>
      <c r="C29" s="247">
        <f>B29*'GWP N2O_CH4'!B4</f>
        <v>7802.6100169546262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5.6645524515393387E-3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1.6644714981267731E-4</v>
      </c>
      <c r="C5" s="463" t="s">
        <v>211</v>
      </c>
      <c r="D5" s="448">
        <f>SUM(D6:D11)</f>
        <v>3.7523937547540812E-4</v>
      </c>
      <c r="E5" s="448">
        <f>SUM(E6:E11)</f>
        <v>1.4464486329378887E-3</v>
      </c>
      <c r="F5" s="461" t="s">
        <v>211</v>
      </c>
      <c r="G5" s="448">
        <f>SUM(G6:G11)</f>
        <v>0.51655073732283474</v>
      </c>
      <c r="H5" s="448">
        <f>SUM(H6:H11)</f>
        <v>0.10080600885526517</v>
      </c>
      <c r="I5" s="463" t="s">
        <v>211</v>
      </c>
      <c r="J5" s="463" t="s">
        <v>211</v>
      </c>
      <c r="K5" s="463" t="s">
        <v>211</v>
      </c>
      <c r="L5" s="463" t="s">
        <v>211</v>
      </c>
      <c r="M5" s="448">
        <f>SUM(M6:M11)</f>
        <v>1.9294215841238801E-2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1.3738232169838301E-4</v>
      </c>
      <c r="C6" s="449"/>
      <c r="D6" s="962">
        <f>vkm_2011_GW_PW*SUMIFS(TableVerdeelsleutelVkm[CNG],TableVerdeelsleutelVkm[Voertuigtype],"Lichte voertuigen")*SUMIFS(TableECFTransport[EnergieConsumptieFactor (PJ per km)],TableECFTransport[Index],CONCATENATE($A6,"_CNG_CNG"))</f>
        <v>2.7298107967685945E-4</v>
      </c>
      <c r="E6" s="962">
        <f>vkm_2011_GW_PW*SUMIFS(TableVerdeelsleutelVkm[LPG],TableVerdeelsleutelVkm[Voertuigtype],"Lichte voertuigen")*SUMIFS(TableECFTransport[EnergieConsumptieFactor (PJ per km)],TableECFTransport[Index],CONCATENATE($A6,"_LPG_LPG"))</f>
        <v>1.0742784049097547E-3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0.25542654404606069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7.390419072274787E-2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1.0262249803842965E-2</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0.17036854602117874</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5.5036317403057111E-5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5.3680522082927007E-3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2.9064828114294306E-5</v>
      </c>
      <c r="C8" s="449"/>
      <c r="D8" s="451">
        <f>vkm_2011_NGW_PW*SUMIFS(TableVerdeelsleutelVkm[CNG],TableVerdeelsleutelVkm[Voertuigtype],"Lichte voertuigen")*SUMIFS(TableECFTransport[EnergieConsumptieFactor (PJ per km)],TableECFTransport[Index],CONCATENATE($A8,"_CNG_CNG"))</f>
        <v>1.0225829579854867E-4</v>
      </c>
      <c r="E8" s="451">
        <f>vkm_2011_NGW_PW*SUMIFS(TableVerdeelsleutelVkm[LPG],TableVerdeelsleutelVkm[Voertuigtype],"Lichte voertuigen")*SUMIFS(TableECFTransport[EnergieConsumptieFactor (PJ per km)],TableECFTransport[Index],CONCATENATE($A8,"_LPG_LPG"))</f>
        <v>3.7217022802813387E-4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8.2632252708256582E-2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2.6844300049200902E-2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3.4079623684882729E-3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8.1233945473387983E-3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2.4817659133301866E-6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2.5595146061486155E-4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46.235319392410361</v>
      </c>
      <c r="C14" s="21"/>
      <c r="D14" s="21">
        <f t="shared" ref="D14:M14" si="0">((D5)*10^9/3600)+D12</f>
        <v>104.23315985428003</v>
      </c>
      <c r="E14" s="21">
        <f t="shared" si="0"/>
        <v>401.79128692719127</v>
      </c>
      <c r="F14" s="21"/>
      <c r="G14" s="21">
        <f t="shared" si="0"/>
        <v>143486.31592300965</v>
      </c>
      <c r="H14" s="21">
        <f t="shared" si="0"/>
        <v>28001.669126462548</v>
      </c>
      <c r="I14" s="21"/>
      <c r="J14" s="21"/>
      <c r="K14" s="21"/>
      <c r="L14" s="21"/>
      <c r="M14" s="21">
        <f t="shared" si="0"/>
        <v>5359.5044003441117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0.20789142528087418</v>
      </c>
      <c r="C16" s="56">
        <f ca="1">'EF ele_warmte'!B22</f>
        <v>0.2375733654061262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9.611926446804631</v>
      </c>
      <c r="C18" s="23"/>
      <c r="D18" s="23">
        <f t="shared" ref="D18:M18" si="1">D14*D16</f>
        <v>21.055098290564569</v>
      </c>
      <c r="E18" s="23">
        <f t="shared" si="1"/>
        <v>91.206622132472418</v>
      </c>
      <c r="F18" s="23"/>
      <c r="G18" s="23">
        <f t="shared" si="1"/>
        <v>38310.846351443579</v>
      </c>
      <c r="H18" s="23">
        <f t="shared" si="1"/>
        <v>6972.4156124891742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9.1171586297384751E-3</v>
      </c>
      <c r="H50" s="321">
        <f t="shared" si="2"/>
        <v>0</v>
      </c>
      <c r="I50" s="321">
        <f t="shared" si="2"/>
        <v>0</v>
      </c>
      <c r="J50" s="321">
        <f t="shared" si="2"/>
        <v>0</v>
      </c>
      <c r="K50" s="321">
        <f t="shared" si="2"/>
        <v>0</v>
      </c>
      <c r="L50" s="321">
        <f t="shared" si="2"/>
        <v>0</v>
      </c>
      <c r="M50" s="321">
        <f t="shared" si="2"/>
        <v>2.8279386395050634E-4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9.1171586297384751E-3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2.8279386395050634E-4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2532.5440638162427</v>
      </c>
      <c r="H54" s="21">
        <f t="shared" si="3"/>
        <v>0</v>
      </c>
      <c r="I54" s="21">
        <f t="shared" si="3"/>
        <v>0</v>
      </c>
      <c r="J54" s="21">
        <f t="shared" si="3"/>
        <v>0</v>
      </c>
      <c r="K54" s="21">
        <f t="shared" si="3"/>
        <v>0</v>
      </c>
      <c r="L54" s="21">
        <f t="shared" si="3"/>
        <v>0</v>
      </c>
      <c r="M54" s="21">
        <f t="shared" si="3"/>
        <v>78.553851097362866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0.20789142528087418</v>
      </c>
      <c r="C56" s="56">
        <f ca="1">'EF ele_warmte'!B22</f>
        <v>0.2375733654061262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676.18926503893681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16623.983141793746</v>
      </c>
      <c r="C6" s="1203"/>
      <c r="D6" s="1188"/>
      <c r="E6" s="1188"/>
      <c r="F6" s="1206"/>
      <c r="G6" s="1209"/>
      <c r="H6" s="1200"/>
      <c r="I6" s="1188"/>
      <c r="J6" s="1188"/>
      <c r="K6" s="1188"/>
      <c r="L6" s="1192"/>
      <c r="M6" s="575"/>
      <c r="N6" s="1166"/>
      <c r="O6" s="1167"/>
      <c r="Q6" s="573"/>
      <c r="R6" s="1154"/>
      <c r="S6" s="1154"/>
    </row>
    <row r="7" spans="1:19" s="563" customFormat="1">
      <c r="A7" s="576" t="s">
        <v>252</v>
      </c>
      <c r="B7" s="577">
        <f>N57</f>
        <v>3970.35</v>
      </c>
      <c r="C7" s="578">
        <f>B100</f>
        <v>4669.5515412881832</v>
      </c>
      <c r="D7" s="579"/>
      <c r="E7" s="579">
        <f>E100</f>
        <v>0</v>
      </c>
      <c r="F7" s="580"/>
      <c r="G7" s="581"/>
      <c r="H7" s="579">
        <f>I100</f>
        <v>0</v>
      </c>
      <c r="I7" s="579">
        <f>G100+F100</f>
        <v>0</v>
      </c>
      <c r="J7" s="579">
        <f>H100+D100+C100</f>
        <v>0</v>
      </c>
      <c r="K7" s="579"/>
      <c r="L7" s="582"/>
      <c r="M7" s="583">
        <f>C7*$C$11+D7*$D$11+E7*$E$11+F7*$F$11+G7*$G$11+H7*$H$11+I7*$I$11+J7*$J$11</f>
        <v>943.2494113402131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20594.333141793744</v>
      </c>
      <c r="C9" s="594">
        <f t="shared" ref="C9:L9" si="0">SUM(C7:C8)</f>
        <v>4669.5515412881832</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943.2494113402131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5704.0714285714284</v>
      </c>
      <c r="C16" s="610">
        <f>B101</f>
        <v>6708.5913158546737</v>
      </c>
      <c r="D16" s="611"/>
      <c r="E16" s="611">
        <f>E101</f>
        <v>0</v>
      </c>
      <c r="F16" s="612"/>
      <c r="G16" s="613"/>
      <c r="H16" s="610">
        <f>I101</f>
        <v>0</v>
      </c>
      <c r="I16" s="611">
        <f>G101+F101</f>
        <v>0</v>
      </c>
      <c r="J16" s="611">
        <f>H101+D101+C101</f>
        <v>0</v>
      </c>
      <c r="K16" s="611"/>
      <c r="L16" s="614"/>
      <c r="M16" s="615">
        <f>C16*$C$21+E16*$E$21+H16*$H$21+I16*$I$21+J16*$J$21+D16*$D$21+F16*$F$21+G16*$G$21+K16*$K$21+L16*$L$21</f>
        <v>1355.1354458026442</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5704.0714285714284</v>
      </c>
      <c r="C19" s="593">
        <f>SUM(C16:C18)</f>
        <v>6708.5913158546737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1355.1354458026442</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45035</v>
      </c>
      <c r="C27" s="851">
        <v>9700</v>
      </c>
      <c r="D27" s="672" t="s">
        <v>818</v>
      </c>
      <c r="E27" s="671" t="s">
        <v>819</v>
      </c>
      <c r="F27" s="671" t="s">
        <v>820</v>
      </c>
      <c r="G27" s="671" t="s">
        <v>821</v>
      </c>
      <c r="H27" s="671" t="s">
        <v>822</v>
      </c>
      <c r="I27" s="671" t="s">
        <v>819</v>
      </c>
      <c r="J27" s="850">
        <v>40660</v>
      </c>
      <c r="K27" s="850">
        <v>40975</v>
      </c>
      <c r="L27" s="671" t="s">
        <v>823</v>
      </c>
      <c r="M27" s="671">
        <v>875</v>
      </c>
      <c r="N27" s="671">
        <v>3937.5</v>
      </c>
      <c r="O27" s="671">
        <v>5625</v>
      </c>
      <c r="P27" s="671">
        <v>11250</v>
      </c>
      <c r="Q27" s="671">
        <v>0</v>
      </c>
      <c r="R27" s="671">
        <v>0</v>
      </c>
      <c r="S27" s="671">
        <v>0</v>
      </c>
      <c r="T27" s="671">
        <v>0</v>
      </c>
      <c r="U27" s="671">
        <v>0</v>
      </c>
      <c r="V27" s="671">
        <v>0</v>
      </c>
      <c r="W27" s="671">
        <v>0</v>
      </c>
      <c r="X27" s="671">
        <v>300</v>
      </c>
      <c r="Y27" s="671" t="s">
        <v>824</v>
      </c>
      <c r="Z27" s="673" t="s">
        <v>389</v>
      </c>
    </row>
    <row r="28" spans="1:26" s="625" customFormat="1" ht="25.5">
      <c r="A28" s="624"/>
      <c r="B28" s="851">
        <v>45035</v>
      </c>
      <c r="C28" s="851">
        <v>9700</v>
      </c>
      <c r="D28" s="672" t="s">
        <v>825</v>
      </c>
      <c r="E28" s="671" t="s">
        <v>826</v>
      </c>
      <c r="F28" s="671" t="s">
        <v>827</v>
      </c>
      <c r="G28" s="671" t="s">
        <v>828</v>
      </c>
      <c r="H28" s="671" t="s">
        <v>828</v>
      </c>
      <c r="I28" s="671" t="s">
        <v>826</v>
      </c>
      <c r="J28" s="850">
        <v>40892</v>
      </c>
      <c r="K28" s="850">
        <v>41000</v>
      </c>
      <c r="L28" s="671" t="s">
        <v>823</v>
      </c>
      <c r="M28" s="671">
        <v>1</v>
      </c>
      <c r="N28" s="671">
        <v>4.5</v>
      </c>
      <c r="O28" s="671">
        <v>22.5</v>
      </c>
      <c r="P28" s="671">
        <v>30</v>
      </c>
      <c r="Q28" s="671">
        <v>0</v>
      </c>
      <c r="R28" s="671">
        <v>0</v>
      </c>
      <c r="S28" s="671">
        <v>0</v>
      </c>
      <c r="T28" s="671">
        <v>0</v>
      </c>
      <c r="U28" s="671">
        <v>0</v>
      </c>
      <c r="V28" s="671">
        <v>0</v>
      </c>
      <c r="W28" s="671">
        <v>0</v>
      </c>
      <c r="X28" s="671">
        <v>10</v>
      </c>
      <c r="Y28" s="671" t="s">
        <v>112</v>
      </c>
      <c r="Z28" s="673" t="s">
        <v>112</v>
      </c>
    </row>
    <row r="29" spans="1:26" s="625" customFormat="1" ht="25.5">
      <c r="A29" s="624"/>
      <c r="B29" s="851">
        <v>45035</v>
      </c>
      <c r="C29" s="851">
        <v>9700</v>
      </c>
      <c r="D29" s="672" t="s">
        <v>829</v>
      </c>
      <c r="E29" s="671" t="s">
        <v>830</v>
      </c>
      <c r="F29" s="671" t="s">
        <v>831</v>
      </c>
      <c r="G29" s="671" t="s">
        <v>828</v>
      </c>
      <c r="H29" s="671" t="s">
        <v>828</v>
      </c>
      <c r="I29" s="671" t="s">
        <v>830</v>
      </c>
      <c r="J29" s="850">
        <v>40512</v>
      </c>
      <c r="K29" s="850">
        <v>41122</v>
      </c>
      <c r="L29" s="671" t="s">
        <v>823</v>
      </c>
      <c r="M29" s="671">
        <v>1</v>
      </c>
      <c r="N29" s="671">
        <v>4.5</v>
      </c>
      <c r="O29" s="671">
        <v>22.5</v>
      </c>
      <c r="P29" s="671">
        <v>30</v>
      </c>
      <c r="Q29" s="671">
        <v>0</v>
      </c>
      <c r="R29" s="671">
        <v>0</v>
      </c>
      <c r="S29" s="671">
        <v>0</v>
      </c>
      <c r="T29" s="671">
        <v>0</v>
      </c>
      <c r="U29" s="671">
        <v>0</v>
      </c>
      <c r="V29" s="671">
        <v>0</v>
      </c>
      <c r="W29" s="671">
        <v>0</v>
      </c>
      <c r="X29" s="671">
        <v>10</v>
      </c>
      <c r="Y29" s="671" t="s">
        <v>112</v>
      </c>
      <c r="Z29" s="673" t="s">
        <v>112</v>
      </c>
    </row>
    <row r="30" spans="1:26" s="625" customFormat="1" ht="38.25">
      <c r="A30" s="624"/>
      <c r="B30" s="851">
        <v>45035</v>
      </c>
      <c r="C30" s="851">
        <v>9700</v>
      </c>
      <c r="D30" s="672" t="s">
        <v>832</v>
      </c>
      <c r="E30" s="671" t="s">
        <v>833</v>
      </c>
      <c r="F30" s="671" t="s">
        <v>834</v>
      </c>
      <c r="G30" s="671" t="s">
        <v>821</v>
      </c>
      <c r="H30" s="671" t="s">
        <v>822</v>
      </c>
      <c r="I30" s="671" t="s">
        <v>833</v>
      </c>
      <c r="J30" s="850">
        <v>41463</v>
      </c>
      <c r="K30" s="850">
        <v>41495</v>
      </c>
      <c r="L30" s="671" t="s">
        <v>823</v>
      </c>
      <c r="M30" s="671">
        <v>5.3</v>
      </c>
      <c r="N30" s="671">
        <v>23.85</v>
      </c>
      <c r="O30" s="671">
        <v>34.071428571428577</v>
      </c>
      <c r="P30" s="671">
        <v>68.142857142857153</v>
      </c>
      <c r="Q30" s="671">
        <v>0</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882.3</v>
      </c>
      <c r="N57" s="629">
        <f>SUM(N27:N56)</f>
        <v>3970.35</v>
      </c>
      <c r="O57" s="629">
        <f t="shared" ref="O57:W57" si="2">SUM(O27:O56)</f>
        <v>5704.0714285714284</v>
      </c>
      <c r="P57" s="629">
        <f t="shared" si="2"/>
        <v>11378.142857142857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875</v>
      </c>
      <c r="N58" s="629">
        <f t="shared" ref="N58:W58" si="3">SUMIF($Z$27:$Z$56,"industrie",N27:N56)</f>
        <v>3937.5</v>
      </c>
      <c r="O58" s="629">
        <f t="shared" si="3"/>
        <v>5625</v>
      </c>
      <c r="P58" s="629">
        <f t="shared" si="3"/>
        <v>11250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7.3</v>
      </c>
      <c r="N60" s="634">
        <f t="shared" ref="N60:W60" si="4">SUMIF($Z$27:$Z$56,"landbouw",N27:N56)</f>
        <v>32.85</v>
      </c>
      <c r="O60" s="634">
        <f t="shared" si="4"/>
        <v>79.071428571428584</v>
      </c>
      <c r="P60" s="634">
        <f t="shared" si="4"/>
        <v>128.14285714285717</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0.58960336498528154</v>
      </c>
      <c r="C97" s="654">
        <f>IF(ISERROR(N57/(O57+N57)),0,N57/(N57+O57))</f>
        <v>0.41039663501471851</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4669.5515412881832</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6708.5913158546737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53556.185442400005</v>
      </c>
      <c r="D10" s="718">
        <f ca="1">tertiair!C16</f>
        <v>0</v>
      </c>
      <c r="E10" s="718">
        <f ca="1">tertiair!D16</f>
        <v>101970.69773884841</v>
      </c>
      <c r="F10" s="718">
        <f>tertiair!E16</f>
        <v>1008.3108484062581</v>
      </c>
      <c r="G10" s="718">
        <f ca="1">tertiair!F16</f>
        <v>12678.184614650672</v>
      </c>
      <c r="H10" s="718">
        <f>tertiair!G16</f>
        <v>0</v>
      </c>
      <c r="I10" s="718">
        <f>tertiair!H16</f>
        <v>0</v>
      </c>
      <c r="J10" s="718">
        <f>tertiair!I16</f>
        <v>0</v>
      </c>
      <c r="K10" s="718">
        <f>tertiair!J16</f>
        <v>0</v>
      </c>
      <c r="L10" s="718">
        <f>tertiair!K16</f>
        <v>0</v>
      </c>
      <c r="M10" s="718">
        <f ca="1">tertiair!L16</f>
        <v>0</v>
      </c>
      <c r="N10" s="718">
        <f>tertiair!M16</f>
        <v>0</v>
      </c>
      <c r="O10" s="718">
        <f ca="1">tertiair!N16</f>
        <v>4752.3597826341247</v>
      </c>
      <c r="P10" s="718">
        <f>tertiair!O16</f>
        <v>4.6900000000000004</v>
      </c>
      <c r="Q10" s="719">
        <f>tertiair!P16</f>
        <v>57.2</v>
      </c>
      <c r="R10" s="721">
        <f ca="1">SUM(C10:Q10)</f>
        <v>174027.62842693948</v>
      </c>
      <c r="S10" s="67"/>
    </row>
    <row r="11" spans="1:19" s="474" customFormat="1">
      <c r="A11" s="870" t="s">
        <v>225</v>
      </c>
      <c r="B11" s="875"/>
      <c r="C11" s="718">
        <f>huishoudens!B8</f>
        <v>53721.048991148877</v>
      </c>
      <c r="D11" s="718">
        <f>huishoudens!C8</f>
        <v>0</v>
      </c>
      <c r="E11" s="718">
        <f>huishoudens!D8</f>
        <v>105821.54153538001</v>
      </c>
      <c r="F11" s="718">
        <f>huishoudens!E8</f>
        <v>14594.53370600663</v>
      </c>
      <c r="G11" s="718">
        <f>huishoudens!F8</f>
        <v>35963.098523837129</v>
      </c>
      <c r="H11" s="718">
        <f>huishoudens!G8</f>
        <v>0</v>
      </c>
      <c r="I11" s="718">
        <f>huishoudens!H8</f>
        <v>0</v>
      </c>
      <c r="J11" s="718">
        <f>huishoudens!I8</f>
        <v>0</v>
      </c>
      <c r="K11" s="718">
        <f>huishoudens!J8</f>
        <v>0</v>
      </c>
      <c r="L11" s="718">
        <f>huishoudens!K8</f>
        <v>0</v>
      </c>
      <c r="M11" s="718">
        <f>huishoudens!L8</f>
        <v>0</v>
      </c>
      <c r="N11" s="718">
        <f>huishoudens!M8</f>
        <v>0</v>
      </c>
      <c r="O11" s="718">
        <f>huishoudens!N8</f>
        <v>22846.14714171282</v>
      </c>
      <c r="P11" s="718">
        <f>huishoudens!O8</f>
        <v>797.30000000000007</v>
      </c>
      <c r="Q11" s="719">
        <f>huishoudens!P8</f>
        <v>1029.5999999999999</v>
      </c>
      <c r="R11" s="721">
        <f>SUM(C11:Q11)</f>
        <v>234773.26989808548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166187.43484844</v>
      </c>
      <c r="D13" s="718">
        <f>industrie!C18</f>
        <v>5625</v>
      </c>
      <c r="E13" s="718">
        <f>industrie!D18</f>
        <v>179541.18257817486</v>
      </c>
      <c r="F13" s="718">
        <f>industrie!E18</f>
        <v>10507.952668852573</v>
      </c>
      <c r="G13" s="718">
        <f>industrie!F18</f>
        <v>43130.33434535782</v>
      </c>
      <c r="H13" s="718">
        <f>industrie!G18</f>
        <v>0</v>
      </c>
      <c r="I13" s="718">
        <f>industrie!H18</f>
        <v>0</v>
      </c>
      <c r="J13" s="718">
        <f>industrie!I18</f>
        <v>0</v>
      </c>
      <c r="K13" s="718">
        <f>industrie!J18</f>
        <v>1149.7543952081842</v>
      </c>
      <c r="L13" s="718">
        <f>industrie!K18</f>
        <v>0</v>
      </c>
      <c r="M13" s="718">
        <f>industrie!L18</f>
        <v>0</v>
      </c>
      <c r="N13" s="718">
        <f>industrie!M18</f>
        <v>0</v>
      </c>
      <c r="O13" s="718">
        <f>industrie!N18</f>
        <v>35807.352495369727</v>
      </c>
      <c r="P13" s="718">
        <f>industrie!O18</f>
        <v>0</v>
      </c>
      <c r="Q13" s="719">
        <f>industrie!P18</f>
        <v>0</v>
      </c>
      <c r="R13" s="721">
        <f>SUM(C13:Q13)</f>
        <v>441949.01133140322</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273464.66928198887</v>
      </c>
      <c r="D15" s="723">
        <f t="shared" ref="D15:Q15" ca="1" si="0">SUM(D9:D14)</f>
        <v>5625</v>
      </c>
      <c r="E15" s="723">
        <f t="shared" ca="1" si="0"/>
        <v>387333.42185240326</v>
      </c>
      <c r="F15" s="723">
        <f t="shared" si="0"/>
        <v>26110.797223265461</v>
      </c>
      <c r="G15" s="723">
        <f t="shared" ca="1" si="0"/>
        <v>91771.617483845621</v>
      </c>
      <c r="H15" s="723">
        <f t="shared" si="0"/>
        <v>0</v>
      </c>
      <c r="I15" s="723">
        <f t="shared" si="0"/>
        <v>0</v>
      </c>
      <c r="J15" s="723">
        <f t="shared" si="0"/>
        <v>0</v>
      </c>
      <c r="K15" s="723">
        <f t="shared" si="0"/>
        <v>1149.7543952081842</v>
      </c>
      <c r="L15" s="723">
        <f t="shared" si="0"/>
        <v>0</v>
      </c>
      <c r="M15" s="723">
        <f t="shared" ca="1" si="0"/>
        <v>0</v>
      </c>
      <c r="N15" s="723">
        <f t="shared" si="0"/>
        <v>0</v>
      </c>
      <c r="O15" s="723">
        <f t="shared" ca="1" si="0"/>
        <v>63405.859419716668</v>
      </c>
      <c r="P15" s="723">
        <f t="shared" si="0"/>
        <v>801.99000000000012</v>
      </c>
      <c r="Q15" s="724">
        <f t="shared" si="0"/>
        <v>1086.8</v>
      </c>
      <c r="R15" s="725">
        <f ca="1">SUM(R9:R14)</f>
        <v>850749.90965642827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2532.5440638162427</v>
      </c>
      <c r="I18" s="718">
        <f>transport!H54</f>
        <v>0</v>
      </c>
      <c r="J18" s="718">
        <f>transport!I54</f>
        <v>0</v>
      </c>
      <c r="K18" s="718">
        <f>transport!J54</f>
        <v>0</v>
      </c>
      <c r="L18" s="718">
        <f>transport!K54</f>
        <v>0</v>
      </c>
      <c r="M18" s="718">
        <f>transport!L54</f>
        <v>0</v>
      </c>
      <c r="N18" s="718">
        <f>transport!M54</f>
        <v>78.553851097362866</v>
      </c>
      <c r="O18" s="718">
        <f>transport!N54</f>
        <v>0</v>
      </c>
      <c r="P18" s="718">
        <f>transport!O54</f>
        <v>0</v>
      </c>
      <c r="Q18" s="719">
        <f>transport!P54</f>
        <v>0</v>
      </c>
      <c r="R18" s="721">
        <f>SUM(C18:Q18)</f>
        <v>2611.0979149136056</v>
      </c>
      <c r="S18" s="67"/>
    </row>
    <row r="19" spans="1:19" s="474" customFormat="1" ht="15" thickBot="1">
      <c r="A19" s="870" t="s">
        <v>307</v>
      </c>
      <c r="B19" s="875"/>
      <c r="C19" s="727">
        <f>transport!B14</f>
        <v>46.235319392410361</v>
      </c>
      <c r="D19" s="727">
        <f>transport!C14</f>
        <v>0</v>
      </c>
      <c r="E19" s="727">
        <f>transport!D14</f>
        <v>104.23315985428003</v>
      </c>
      <c r="F19" s="727">
        <f>transport!E14</f>
        <v>401.79128692719127</v>
      </c>
      <c r="G19" s="727">
        <f>transport!F14</f>
        <v>0</v>
      </c>
      <c r="H19" s="727">
        <f>transport!G14</f>
        <v>143486.31592300965</v>
      </c>
      <c r="I19" s="727">
        <f>transport!H14</f>
        <v>28001.669126462548</v>
      </c>
      <c r="J19" s="727">
        <f>transport!I14</f>
        <v>0</v>
      </c>
      <c r="K19" s="727">
        <f>transport!J14</f>
        <v>0</v>
      </c>
      <c r="L19" s="727">
        <f>transport!K14</f>
        <v>0</v>
      </c>
      <c r="M19" s="727">
        <f>transport!L14</f>
        <v>0</v>
      </c>
      <c r="N19" s="727">
        <f>transport!M14</f>
        <v>5359.5044003441117</v>
      </c>
      <c r="O19" s="727">
        <f>transport!N14</f>
        <v>0</v>
      </c>
      <c r="P19" s="727">
        <f>transport!O14</f>
        <v>0</v>
      </c>
      <c r="Q19" s="728">
        <f>transport!P14</f>
        <v>0</v>
      </c>
      <c r="R19" s="729">
        <f>SUM(C19:Q19)</f>
        <v>177399.74921599016</v>
      </c>
      <c r="S19" s="67"/>
    </row>
    <row r="20" spans="1:19" s="474" customFormat="1" ht="15.75" thickBot="1">
      <c r="A20" s="730" t="s">
        <v>230</v>
      </c>
      <c r="B20" s="878"/>
      <c r="C20" s="873">
        <f>SUM(C17:C19)</f>
        <v>46.235319392410361</v>
      </c>
      <c r="D20" s="731">
        <f t="shared" ref="D20:R20" si="1">SUM(D17:D19)</f>
        <v>0</v>
      </c>
      <c r="E20" s="731">
        <f t="shared" si="1"/>
        <v>104.23315985428003</v>
      </c>
      <c r="F20" s="731">
        <f t="shared" si="1"/>
        <v>401.79128692719127</v>
      </c>
      <c r="G20" s="731">
        <f t="shared" si="1"/>
        <v>0</v>
      </c>
      <c r="H20" s="731">
        <f t="shared" si="1"/>
        <v>146018.8599868259</v>
      </c>
      <c r="I20" s="731">
        <f t="shared" si="1"/>
        <v>28001.669126462548</v>
      </c>
      <c r="J20" s="731">
        <f t="shared" si="1"/>
        <v>0</v>
      </c>
      <c r="K20" s="731">
        <f t="shared" si="1"/>
        <v>0</v>
      </c>
      <c r="L20" s="731">
        <f t="shared" si="1"/>
        <v>0</v>
      </c>
      <c r="M20" s="731">
        <f t="shared" si="1"/>
        <v>0</v>
      </c>
      <c r="N20" s="731">
        <f t="shared" si="1"/>
        <v>5438.0582514414746</v>
      </c>
      <c r="O20" s="731">
        <f t="shared" si="1"/>
        <v>0</v>
      </c>
      <c r="P20" s="731">
        <f t="shared" si="1"/>
        <v>0</v>
      </c>
      <c r="Q20" s="732">
        <f t="shared" si="1"/>
        <v>0</v>
      </c>
      <c r="R20" s="733">
        <f t="shared" si="1"/>
        <v>180010.84713090377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1736.2744631640001</v>
      </c>
      <c r="D22" s="727">
        <f>+landbouw!C8</f>
        <v>79.071428571428584</v>
      </c>
      <c r="E22" s="727">
        <f>+landbouw!D8</f>
        <v>7571.0634002173438</v>
      </c>
      <c r="F22" s="727">
        <f>+landbouw!E8</f>
        <v>44.771851881809468</v>
      </c>
      <c r="G22" s="727">
        <f>+landbouw!F8</f>
        <v>6346.4138202735385</v>
      </c>
      <c r="H22" s="727">
        <f>+landbouw!G8</f>
        <v>0</v>
      </c>
      <c r="I22" s="727">
        <f>+landbouw!H8</f>
        <v>0</v>
      </c>
      <c r="J22" s="727">
        <f>+landbouw!I8</f>
        <v>0</v>
      </c>
      <c r="K22" s="727">
        <f>+landbouw!J8</f>
        <v>249.95965096235307</v>
      </c>
      <c r="L22" s="727">
        <f>+landbouw!K8</f>
        <v>0</v>
      </c>
      <c r="M22" s="727">
        <f>+landbouw!L8</f>
        <v>0</v>
      </c>
      <c r="N22" s="727">
        <f>+landbouw!M8</f>
        <v>0</v>
      </c>
      <c r="O22" s="727">
        <f>+landbouw!N8</f>
        <v>0</v>
      </c>
      <c r="P22" s="727">
        <f>+landbouw!O8</f>
        <v>0</v>
      </c>
      <c r="Q22" s="728">
        <f>+landbouw!P8</f>
        <v>0</v>
      </c>
      <c r="R22" s="729">
        <f>SUM(C22:Q22)</f>
        <v>16027.554615070474</v>
      </c>
      <c r="S22" s="67"/>
    </row>
    <row r="23" spans="1:19" s="474" customFormat="1" ht="17.25" thickTop="1" thickBot="1">
      <c r="A23" s="734" t="s">
        <v>116</v>
      </c>
      <c r="B23" s="864"/>
      <c r="C23" s="735">
        <f ca="1">C20+C15+C22</f>
        <v>275247.17906454526</v>
      </c>
      <c r="D23" s="735">
        <f t="shared" ref="D23:Q23" ca="1" si="2">D20+D15+D22</f>
        <v>5704.0714285714284</v>
      </c>
      <c r="E23" s="735">
        <f t="shared" ca="1" si="2"/>
        <v>395008.71841247485</v>
      </c>
      <c r="F23" s="735">
        <f t="shared" si="2"/>
        <v>26557.360362074462</v>
      </c>
      <c r="G23" s="735">
        <f t="shared" ca="1" si="2"/>
        <v>98118.031304119155</v>
      </c>
      <c r="H23" s="735">
        <f t="shared" si="2"/>
        <v>146018.8599868259</v>
      </c>
      <c r="I23" s="735">
        <f t="shared" si="2"/>
        <v>28001.669126462548</v>
      </c>
      <c r="J23" s="735">
        <f t="shared" si="2"/>
        <v>0</v>
      </c>
      <c r="K23" s="735">
        <f t="shared" si="2"/>
        <v>1399.7140461705371</v>
      </c>
      <c r="L23" s="735">
        <f t="shared" si="2"/>
        <v>0</v>
      </c>
      <c r="M23" s="735">
        <f t="shared" ca="1" si="2"/>
        <v>0</v>
      </c>
      <c r="N23" s="735">
        <f t="shared" si="2"/>
        <v>5438.0582514414746</v>
      </c>
      <c r="O23" s="735">
        <f t="shared" ca="1" si="2"/>
        <v>63405.859419716668</v>
      </c>
      <c r="P23" s="735">
        <f t="shared" si="2"/>
        <v>801.99000000000012</v>
      </c>
      <c r="Q23" s="736">
        <f t="shared" si="2"/>
        <v>1086.8</v>
      </c>
      <c r="R23" s="737">
        <f ca="1">R20+R15+R22</f>
        <v>1046788.3114024025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11133.871724227341</v>
      </c>
      <c r="D36" s="718">
        <f ca="1">tertiair!C20</f>
        <v>0</v>
      </c>
      <c r="E36" s="718">
        <f ca="1">tertiair!D20</f>
        <v>20598.08094324738</v>
      </c>
      <c r="F36" s="718">
        <f>tertiair!E20</f>
        <v>228.88656258822058</v>
      </c>
      <c r="G36" s="718">
        <f ca="1">tertiair!F20</f>
        <v>3385.0752921117296</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35345.914522174673</v>
      </c>
    </row>
    <row r="37" spans="1:18">
      <c r="A37" s="885" t="s">
        <v>225</v>
      </c>
      <c r="B37" s="892"/>
      <c r="C37" s="718">
        <f ca="1">huishoudens!B12</f>
        <v>11168.145442353607</v>
      </c>
      <c r="D37" s="718">
        <f ca="1">huishoudens!C12</f>
        <v>0</v>
      </c>
      <c r="E37" s="718">
        <f>huishoudens!D12</f>
        <v>21375.951390146762</v>
      </c>
      <c r="F37" s="718">
        <f>huishoudens!E12</f>
        <v>3312.9591512635052</v>
      </c>
      <c r="G37" s="718">
        <f>huishoudens!F12</f>
        <v>9602.1473058645133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45459.203289628385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34548.942694414611</v>
      </c>
      <c r="D39" s="718">
        <f ca="1">industrie!C22</f>
        <v>1336.3501804094599</v>
      </c>
      <c r="E39" s="718">
        <f>industrie!D22</f>
        <v>36267.318880791325</v>
      </c>
      <c r="F39" s="718">
        <f>industrie!E22</f>
        <v>2385.305255829534</v>
      </c>
      <c r="G39" s="718">
        <f>industrie!F22</f>
        <v>11515.799270210538</v>
      </c>
      <c r="H39" s="718">
        <f>industrie!G22</f>
        <v>0</v>
      </c>
      <c r="I39" s="718">
        <f>industrie!H22</f>
        <v>0</v>
      </c>
      <c r="J39" s="718">
        <f>industrie!I22</f>
        <v>0</v>
      </c>
      <c r="K39" s="718">
        <f>industrie!J22</f>
        <v>407.01305590369719</v>
      </c>
      <c r="L39" s="718">
        <f>industrie!K22</f>
        <v>0</v>
      </c>
      <c r="M39" s="718">
        <f>industrie!L22</f>
        <v>0</v>
      </c>
      <c r="N39" s="718">
        <f>industrie!M22</f>
        <v>0</v>
      </c>
      <c r="O39" s="718">
        <f>industrie!N22</f>
        <v>0</v>
      </c>
      <c r="P39" s="718">
        <f>industrie!O22</f>
        <v>0</v>
      </c>
      <c r="Q39" s="828">
        <f>industrie!P22</f>
        <v>0</v>
      </c>
      <c r="R39" s="918">
        <f ca="1">SUM(C39:Q39)</f>
        <v>86460.729337559154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56850.959860995557</v>
      </c>
      <c r="D41" s="763">
        <f t="shared" ref="D41:R41" ca="1" si="4">SUM(D35:D40)</f>
        <v>1336.3501804094599</v>
      </c>
      <c r="E41" s="763">
        <f t="shared" ca="1" si="4"/>
        <v>78241.351214185474</v>
      </c>
      <c r="F41" s="763">
        <f t="shared" si="4"/>
        <v>5927.1509696812591</v>
      </c>
      <c r="G41" s="763">
        <f t="shared" ca="1" si="4"/>
        <v>24503.021868186781</v>
      </c>
      <c r="H41" s="763">
        <f t="shared" si="4"/>
        <v>0</v>
      </c>
      <c r="I41" s="763">
        <f t="shared" si="4"/>
        <v>0</v>
      </c>
      <c r="J41" s="763">
        <f t="shared" si="4"/>
        <v>0</v>
      </c>
      <c r="K41" s="763">
        <f t="shared" si="4"/>
        <v>407.01305590369719</v>
      </c>
      <c r="L41" s="763">
        <f t="shared" si="4"/>
        <v>0</v>
      </c>
      <c r="M41" s="763">
        <f t="shared" ca="1" si="4"/>
        <v>0</v>
      </c>
      <c r="N41" s="763">
        <f t="shared" si="4"/>
        <v>0</v>
      </c>
      <c r="O41" s="763">
        <f t="shared" ca="1" si="4"/>
        <v>0</v>
      </c>
      <c r="P41" s="763">
        <f t="shared" si="4"/>
        <v>0</v>
      </c>
      <c r="Q41" s="764">
        <f t="shared" si="4"/>
        <v>0</v>
      </c>
      <c r="R41" s="765">
        <f t="shared" ca="1" si="4"/>
        <v>167265.84714936221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676.18926503893681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676.18926503893681</v>
      </c>
    </row>
    <row r="45" spans="1:18" ht="15" thickBot="1">
      <c r="A45" s="888" t="s">
        <v>307</v>
      </c>
      <c r="B45" s="898"/>
      <c r="C45" s="727">
        <f ca="1">transport!B18</f>
        <v>9.611926446804631</v>
      </c>
      <c r="D45" s="727">
        <f>transport!C18</f>
        <v>0</v>
      </c>
      <c r="E45" s="727">
        <f>transport!D18</f>
        <v>21.055098290564569</v>
      </c>
      <c r="F45" s="727">
        <f>transport!E18</f>
        <v>91.206622132472418</v>
      </c>
      <c r="G45" s="727">
        <f>transport!F18</f>
        <v>0</v>
      </c>
      <c r="H45" s="727">
        <f>transport!G18</f>
        <v>38310.846351443579</v>
      </c>
      <c r="I45" s="727">
        <f>transport!H18</f>
        <v>6972.4156124891742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45405.135610802594</v>
      </c>
    </row>
    <row r="46" spans="1:18" ht="15.75" thickBot="1">
      <c r="A46" s="886" t="s">
        <v>230</v>
      </c>
      <c r="B46" s="899"/>
      <c r="C46" s="763">
        <f t="shared" ref="C46:R46" ca="1" si="5">SUM(C43:C45)</f>
        <v>9.611926446804631</v>
      </c>
      <c r="D46" s="763">
        <f t="shared" ca="1" si="5"/>
        <v>0</v>
      </c>
      <c r="E46" s="763">
        <f t="shared" si="5"/>
        <v>21.055098290564569</v>
      </c>
      <c r="F46" s="763">
        <f t="shared" si="5"/>
        <v>91.206622132472418</v>
      </c>
      <c r="G46" s="763">
        <f t="shared" si="5"/>
        <v>0</v>
      </c>
      <c r="H46" s="763">
        <f t="shared" si="5"/>
        <v>38987.035616482513</v>
      </c>
      <c r="I46" s="763">
        <f t="shared" si="5"/>
        <v>6972.4156124891742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46081.324875841528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360.95657282594863</v>
      </c>
      <c r="D48" s="718">
        <f ca="1">+landbouw!C12</f>
        <v>18.78526539318441</v>
      </c>
      <c r="E48" s="718">
        <f>+landbouw!D12</f>
        <v>1529.3548068439036</v>
      </c>
      <c r="F48" s="718">
        <f>+landbouw!E12</f>
        <v>10.163210377170749</v>
      </c>
      <c r="G48" s="718">
        <f>+landbouw!F12</f>
        <v>1694.492490013035</v>
      </c>
      <c r="H48" s="718">
        <f>+landbouw!G12</f>
        <v>0</v>
      </c>
      <c r="I48" s="718">
        <f>+landbouw!H12</f>
        <v>0</v>
      </c>
      <c r="J48" s="718">
        <f>+landbouw!I12</f>
        <v>0</v>
      </c>
      <c r="K48" s="718">
        <f>+landbouw!J12</f>
        <v>88.485716440672988</v>
      </c>
      <c r="L48" s="718">
        <f>+landbouw!K12</f>
        <v>0</v>
      </c>
      <c r="M48" s="718">
        <f>+landbouw!L12</f>
        <v>0</v>
      </c>
      <c r="N48" s="718">
        <f>+landbouw!M12</f>
        <v>0</v>
      </c>
      <c r="O48" s="718">
        <f>+landbouw!N12</f>
        <v>0</v>
      </c>
      <c r="P48" s="718">
        <f>+landbouw!O12</f>
        <v>0</v>
      </c>
      <c r="Q48" s="719">
        <f>+landbouw!P12</f>
        <v>0</v>
      </c>
      <c r="R48" s="761">
        <f ca="1">SUM(C48:Q48)</f>
        <v>3702.2380618939155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57221.528360268312</v>
      </c>
      <c r="D53" s="773">
        <f t="shared" ref="D53:Q53" ca="1" si="6">D41+D46+D48</f>
        <v>1355.1354458026442</v>
      </c>
      <c r="E53" s="773">
        <f t="shared" ca="1" si="6"/>
        <v>79791.761119319941</v>
      </c>
      <c r="F53" s="773">
        <f t="shared" si="6"/>
        <v>6028.520802190902</v>
      </c>
      <c r="G53" s="773">
        <f t="shared" ca="1" si="6"/>
        <v>26197.514358199816</v>
      </c>
      <c r="H53" s="773">
        <f t="shared" si="6"/>
        <v>38987.035616482513</v>
      </c>
      <c r="I53" s="773">
        <f t="shared" si="6"/>
        <v>6972.4156124891742</v>
      </c>
      <c r="J53" s="773">
        <f t="shared" si="6"/>
        <v>0</v>
      </c>
      <c r="K53" s="773">
        <f t="shared" si="6"/>
        <v>495.4987723443702</v>
      </c>
      <c r="L53" s="773">
        <f t="shared" si="6"/>
        <v>0</v>
      </c>
      <c r="M53" s="773">
        <f t="shared" ca="1" si="6"/>
        <v>0</v>
      </c>
      <c r="N53" s="773">
        <f t="shared" si="6"/>
        <v>0</v>
      </c>
      <c r="O53" s="773">
        <f t="shared" ca="1" si="6"/>
        <v>0</v>
      </c>
      <c r="P53" s="773">
        <f>P41+P46+P48</f>
        <v>0</v>
      </c>
      <c r="Q53" s="774">
        <f t="shared" si="6"/>
        <v>0</v>
      </c>
      <c r="R53" s="775">
        <f ca="1">R41+R46+R48</f>
        <v>217049.41008709764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0.2078914252808742</v>
      </c>
      <c r="D55" s="836">
        <f t="shared" ca="1" si="7"/>
        <v>0.2375733654061262</v>
      </c>
      <c r="E55" s="836">
        <f t="shared" ca="1" si="7"/>
        <v>0.20200000000000007</v>
      </c>
      <c r="F55" s="836">
        <f t="shared" si="7"/>
        <v>0.22699999999999998</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16623.983141793746</v>
      </c>
      <c r="C66" s="795">
        <f>'lokale energieproductie'!B6</f>
        <v>16623.983141793746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3970.35</v>
      </c>
      <c r="C67" s="794">
        <f>B67*IFERROR(SUM(J67:L67)/SUM(D67:M67),0)</f>
        <v>0</v>
      </c>
      <c r="D67" s="826">
        <f>'lokale energieproductie'!C7</f>
        <v>4669.5515412881832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943.2494113402131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20594.333141793744</v>
      </c>
      <c r="C69" s="803">
        <f>SUM(C64:C68)</f>
        <v>16623.983141793746</v>
      </c>
      <c r="D69" s="804">
        <f t="shared" ref="D69:M69" si="8">SUM(D67:D68)</f>
        <v>4669.5515412881832</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943.2494113402131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5704.0714285714284</v>
      </c>
      <c r="C78" s="817">
        <f>B78*IFERROR(SUM(I78:L78)/SUM(D78:M78),0)</f>
        <v>0</v>
      </c>
      <c r="D78" s="832">
        <f>'lokale energieproductie'!C16</f>
        <v>6708.5913158546737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1355.1354458026442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5704.0714285714284</v>
      </c>
      <c r="C81" s="803">
        <f>SUM(C78:C80)</f>
        <v>0</v>
      </c>
      <c r="D81" s="803">
        <f t="shared" ref="D81:P81" si="9">SUM(D78:D80)</f>
        <v>6708.5913158546737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1355.1354458026442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53721.048991148877</v>
      </c>
      <c r="C4" s="478">
        <f>huishoudens!C8</f>
        <v>0</v>
      </c>
      <c r="D4" s="478">
        <f>huishoudens!D8</f>
        <v>105821.54153538001</v>
      </c>
      <c r="E4" s="478">
        <f>huishoudens!E8</f>
        <v>14594.53370600663</v>
      </c>
      <c r="F4" s="478">
        <f>huishoudens!F8</f>
        <v>35963.098523837129</v>
      </c>
      <c r="G4" s="478">
        <f>huishoudens!G8</f>
        <v>0</v>
      </c>
      <c r="H4" s="478">
        <f>huishoudens!H8</f>
        <v>0</v>
      </c>
      <c r="I4" s="478">
        <f>huishoudens!I8</f>
        <v>0</v>
      </c>
      <c r="J4" s="478">
        <f>huishoudens!J8</f>
        <v>0</v>
      </c>
      <c r="K4" s="478">
        <f>huishoudens!K8</f>
        <v>0</v>
      </c>
      <c r="L4" s="478">
        <f>huishoudens!L8</f>
        <v>0</v>
      </c>
      <c r="M4" s="478">
        <f>huishoudens!M8</f>
        <v>0</v>
      </c>
      <c r="N4" s="478">
        <f>huishoudens!N8</f>
        <v>22846.14714171282</v>
      </c>
      <c r="O4" s="478">
        <f>huishoudens!O8</f>
        <v>797.30000000000007</v>
      </c>
      <c r="P4" s="479">
        <f>huishoudens!P8</f>
        <v>1029.5999999999999</v>
      </c>
      <c r="Q4" s="480">
        <f>SUM(B4:P4)</f>
        <v>234773.26989808548</v>
      </c>
    </row>
    <row r="5" spans="1:17">
      <c r="A5" s="477" t="s">
        <v>156</v>
      </c>
      <c r="B5" s="478">
        <f ca="1">tertiair!B16</f>
        <v>51147.928442400007</v>
      </c>
      <c r="C5" s="478">
        <f ca="1">tertiair!C16</f>
        <v>0</v>
      </c>
      <c r="D5" s="478">
        <f ca="1">tertiair!D16</f>
        <v>101970.69773884841</v>
      </c>
      <c r="E5" s="478">
        <f>tertiair!E16</f>
        <v>1008.3108484062581</v>
      </c>
      <c r="F5" s="478">
        <f ca="1">tertiair!F16</f>
        <v>12678.184614650672</v>
      </c>
      <c r="G5" s="478">
        <f>tertiair!G16</f>
        <v>0</v>
      </c>
      <c r="H5" s="478">
        <f>tertiair!H16</f>
        <v>0</v>
      </c>
      <c r="I5" s="478">
        <f>tertiair!I16</f>
        <v>0</v>
      </c>
      <c r="J5" s="478">
        <f>tertiair!J16</f>
        <v>0</v>
      </c>
      <c r="K5" s="478">
        <f>tertiair!K16</f>
        <v>0</v>
      </c>
      <c r="L5" s="478">
        <f ca="1">tertiair!L16</f>
        <v>0</v>
      </c>
      <c r="M5" s="478">
        <f>tertiair!M16</f>
        <v>0</v>
      </c>
      <c r="N5" s="478">
        <f ca="1">tertiair!N16</f>
        <v>4752.3597826341247</v>
      </c>
      <c r="O5" s="478">
        <f>tertiair!O16</f>
        <v>4.6900000000000004</v>
      </c>
      <c r="P5" s="479">
        <f>tertiair!P16</f>
        <v>57.2</v>
      </c>
      <c r="Q5" s="477">
        <f t="shared" ref="Q5:Q13" ca="1" si="0">SUM(B5:P5)</f>
        <v>171619.37142693947</v>
      </c>
    </row>
    <row r="6" spans="1:17">
      <c r="A6" s="477" t="s">
        <v>194</v>
      </c>
      <c r="B6" s="478">
        <f>'openbare verlichting'!B8</f>
        <v>2408.2570000000001</v>
      </c>
      <c r="C6" s="478"/>
      <c r="D6" s="478"/>
      <c r="E6" s="478"/>
      <c r="F6" s="478"/>
      <c r="G6" s="478"/>
      <c r="H6" s="478"/>
      <c r="I6" s="478"/>
      <c r="J6" s="478"/>
      <c r="K6" s="478"/>
      <c r="L6" s="478"/>
      <c r="M6" s="478"/>
      <c r="N6" s="478"/>
      <c r="O6" s="478"/>
      <c r="P6" s="479"/>
      <c r="Q6" s="477">
        <f t="shared" si="0"/>
        <v>2408.2570000000001</v>
      </c>
    </row>
    <row r="7" spans="1:17">
      <c r="A7" s="477" t="s">
        <v>112</v>
      </c>
      <c r="B7" s="478">
        <f>landbouw!B8</f>
        <v>1736.2744631640001</v>
      </c>
      <c r="C7" s="478">
        <f>landbouw!C8</f>
        <v>79.071428571428584</v>
      </c>
      <c r="D7" s="478">
        <f>landbouw!D8</f>
        <v>7571.0634002173438</v>
      </c>
      <c r="E7" s="478">
        <f>landbouw!E8</f>
        <v>44.771851881809468</v>
      </c>
      <c r="F7" s="478">
        <f>landbouw!F8</f>
        <v>6346.4138202735385</v>
      </c>
      <c r="G7" s="478">
        <f>landbouw!G8</f>
        <v>0</v>
      </c>
      <c r="H7" s="478">
        <f>landbouw!H8</f>
        <v>0</v>
      </c>
      <c r="I7" s="478">
        <f>landbouw!I8</f>
        <v>0</v>
      </c>
      <c r="J7" s="478">
        <f>landbouw!J8</f>
        <v>249.95965096235307</v>
      </c>
      <c r="K7" s="478">
        <f>landbouw!K8</f>
        <v>0</v>
      </c>
      <c r="L7" s="478">
        <f>landbouw!L8</f>
        <v>0</v>
      </c>
      <c r="M7" s="478">
        <f>landbouw!M8</f>
        <v>0</v>
      </c>
      <c r="N7" s="478">
        <f>landbouw!N8</f>
        <v>0</v>
      </c>
      <c r="O7" s="478">
        <f>landbouw!O8</f>
        <v>0</v>
      </c>
      <c r="P7" s="479">
        <f>landbouw!P8</f>
        <v>0</v>
      </c>
      <c r="Q7" s="477">
        <f t="shared" si="0"/>
        <v>16027.554615070474</v>
      </c>
    </row>
    <row r="8" spans="1:17">
      <c r="A8" s="477" t="s">
        <v>638</v>
      </c>
      <c r="B8" s="478">
        <f>industrie!B18</f>
        <v>166187.43484844</v>
      </c>
      <c r="C8" s="478">
        <f>industrie!C18</f>
        <v>5625</v>
      </c>
      <c r="D8" s="478">
        <f>industrie!D18</f>
        <v>179541.18257817486</v>
      </c>
      <c r="E8" s="478">
        <f>industrie!E18</f>
        <v>10507.952668852573</v>
      </c>
      <c r="F8" s="478">
        <f>industrie!F18</f>
        <v>43130.33434535782</v>
      </c>
      <c r="G8" s="478">
        <f>industrie!G18</f>
        <v>0</v>
      </c>
      <c r="H8" s="478">
        <f>industrie!H18</f>
        <v>0</v>
      </c>
      <c r="I8" s="478">
        <f>industrie!I18</f>
        <v>0</v>
      </c>
      <c r="J8" s="478">
        <f>industrie!J18</f>
        <v>1149.7543952081842</v>
      </c>
      <c r="K8" s="478">
        <f>industrie!K18</f>
        <v>0</v>
      </c>
      <c r="L8" s="478">
        <f>industrie!L18</f>
        <v>0</v>
      </c>
      <c r="M8" s="478">
        <f>industrie!M18</f>
        <v>0</v>
      </c>
      <c r="N8" s="478">
        <f>industrie!N18</f>
        <v>35807.352495369727</v>
      </c>
      <c r="O8" s="478">
        <f>industrie!O18</f>
        <v>0</v>
      </c>
      <c r="P8" s="479">
        <f>industrie!P18</f>
        <v>0</v>
      </c>
      <c r="Q8" s="477">
        <f t="shared" si="0"/>
        <v>441949.01133140322</v>
      </c>
    </row>
    <row r="9" spans="1:17" s="483" customFormat="1">
      <c r="A9" s="481" t="s">
        <v>564</v>
      </c>
      <c r="B9" s="482">
        <f>transport!B14</f>
        <v>46.235319392410361</v>
      </c>
      <c r="C9" s="482">
        <f>transport!C14</f>
        <v>0</v>
      </c>
      <c r="D9" s="482">
        <f>transport!D14</f>
        <v>104.23315985428003</v>
      </c>
      <c r="E9" s="482">
        <f>transport!E14</f>
        <v>401.79128692719127</v>
      </c>
      <c r="F9" s="482">
        <f>transport!F14</f>
        <v>0</v>
      </c>
      <c r="G9" s="482">
        <f>transport!G14</f>
        <v>143486.31592300965</v>
      </c>
      <c r="H9" s="482">
        <f>transport!H14</f>
        <v>28001.669126462548</v>
      </c>
      <c r="I9" s="482">
        <f>transport!I14</f>
        <v>0</v>
      </c>
      <c r="J9" s="482">
        <f>transport!J14</f>
        <v>0</v>
      </c>
      <c r="K9" s="482">
        <f>transport!K14</f>
        <v>0</v>
      </c>
      <c r="L9" s="482">
        <f>transport!L14</f>
        <v>0</v>
      </c>
      <c r="M9" s="482">
        <f>transport!M14</f>
        <v>5359.5044003441117</v>
      </c>
      <c r="N9" s="482">
        <f>transport!N14</f>
        <v>0</v>
      </c>
      <c r="O9" s="482">
        <f>transport!O14</f>
        <v>0</v>
      </c>
      <c r="P9" s="482">
        <f>transport!P14</f>
        <v>0</v>
      </c>
      <c r="Q9" s="481">
        <f>SUM(B9:P9)</f>
        <v>177399.74921599016</v>
      </c>
    </row>
    <row r="10" spans="1:17">
      <c r="A10" s="477" t="s">
        <v>554</v>
      </c>
      <c r="B10" s="478">
        <f>transport!B54</f>
        <v>0</v>
      </c>
      <c r="C10" s="478">
        <f>transport!C54</f>
        <v>0</v>
      </c>
      <c r="D10" s="478">
        <f>transport!D54</f>
        <v>0</v>
      </c>
      <c r="E10" s="478">
        <f>transport!E54</f>
        <v>0</v>
      </c>
      <c r="F10" s="478">
        <f>transport!F54</f>
        <v>0</v>
      </c>
      <c r="G10" s="478">
        <f>transport!G54</f>
        <v>2532.5440638162427</v>
      </c>
      <c r="H10" s="478">
        <f>transport!H54</f>
        <v>0</v>
      </c>
      <c r="I10" s="478">
        <f>transport!I54</f>
        <v>0</v>
      </c>
      <c r="J10" s="478">
        <f>transport!J54</f>
        <v>0</v>
      </c>
      <c r="K10" s="478">
        <f>transport!K54</f>
        <v>0</v>
      </c>
      <c r="L10" s="478">
        <f>transport!L54</f>
        <v>0</v>
      </c>
      <c r="M10" s="478">
        <f>transport!M54</f>
        <v>78.553851097362866</v>
      </c>
      <c r="N10" s="478">
        <f>transport!N54</f>
        <v>0</v>
      </c>
      <c r="O10" s="478">
        <f>transport!O54</f>
        <v>0</v>
      </c>
      <c r="P10" s="479">
        <f>transport!P54</f>
        <v>0</v>
      </c>
      <c r="Q10" s="477">
        <f t="shared" si="0"/>
        <v>2611.0979149136056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275247.17906454531</v>
      </c>
      <c r="C14" s="488">
        <f t="shared" ref="C14:Q14" ca="1" si="1">SUM(C4:C13)</f>
        <v>5704.0714285714284</v>
      </c>
      <c r="D14" s="488">
        <f t="shared" ca="1" si="1"/>
        <v>395008.71841247485</v>
      </c>
      <c r="E14" s="488">
        <f t="shared" si="1"/>
        <v>26557.360362074462</v>
      </c>
      <c r="F14" s="488">
        <f t="shared" ca="1" si="1"/>
        <v>98118.031304119155</v>
      </c>
      <c r="G14" s="488">
        <f t="shared" si="1"/>
        <v>146018.8599868259</v>
      </c>
      <c r="H14" s="488">
        <f t="shared" si="1"/>
        <v>28001.669126462548</v>
      </c>
      <c r="I14" s="488">
        <f t="shared" si="1"/>
        <v>0</v>
      </c>
      <c r="J14" s="488">
        <f t="shared" si="1"/>
        <v>1399.7140461705371</v>
      </c>
      <c r="K14" s="488">
        <f t="shared" si="1"/>
        <v>0</v>
      </c>
      <c r="L14" s="488">
        <f t="shared" ca="1" si="1"/>
        <v>0</v>
      </c>
      <c r="M14" s="488">
        <f t="shared" si="1"/>
        <v>5438.0582514414746</v>
      </c>
      <c r="N14" s="488">
        <f t="shared" ca="1" si="1"/>
        <v>63405.859419716668</v>
      </c>
      <c r="O14" s="488">
        <f t="shared" si="1"/>
        <v>801.99000000000012</v>
      </c>
      <c r="P14" s="489">
        <f t="shared" si="1"/>
        <v>1086.8</v>
      </c>
      <c r="Q14" s="489">
        <f t="shared" ca="1" si="1"/>
        <v>1046788.3114024024</v>
      </c>
    </row>
    <row r="16" spans="1:17">
      <c r="A16" s="491" t="s">
        <v>559</v>
      </c>
      <c r="B16" s="841">
        <f ca="1">huishoudens!B10</f>
        <v>0.20789142528087418</v>
      </c>
      <c r="C16" s="841">
        <f ca="1">huishoudens!C10</f>
        <v>0.2375733654061262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11168.145442353607</v>
      </c>
      <c r="C21" s="478">
        <f t="shared" ref="C21:C30" ca="1" si="3">C4*$C$16</f>
        <v>0</v>
      </c>
      <c r="D21" s="478">
        <f t="shared" ref="D21:D30" si="4">D4*$D$16</f>
        <v>21375.951390146762</v>
      </c>
      <c r="E21" s="478">
        <f t="shared" ref="E21:E30" si="5">E4*$E$16</f>
        <v>3312.9591512635052</v>
      </c>
      <c r="F21" s="478">
        <f t="shared" ref="F21:F30" si="6">F4*$F$16</f>
        <v>9602.1473058645133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45459.203289628385</v>
      </c>
    </row>
    <row r="22" spans="1:17">
      <c r="A22" s="477" t="s">
        <v>156</v>
      </c>
      <c r="B22" s="478">
        <f t="shared" ca="1" si="2"/>
        <v>10633.2157440547</v>
      </c>
      <c r="C22" s="478">
        <f t="shared" ca="1" si="3"/>
        <v>0</v>
      </c>
      <c r="D22" s="478">
        <f t="shared" ca="1" si="4"/>
        <v>20598.08094324738</v>
      </c>
      <c r="E22" s="478">
        <f t="shared" si="5"/>
        <v>228.88656258822058</v>
      </c>
      <c r="F22" s="478">
        <f t="shared" ca="1" si="6"/>
        <v>3385.0752921117296</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34845.258542002026</v>
      </c>
    </row>
    <row r="23" spans="1:17">
      <c r="A23" s="477" t="s">
        <v>194</v>
      </c>
      <c r="B23" s="478">
        <f t="shared" ca="1" si="2"/>
        <v>500.65598017264222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500.65598017264222</v>
      </c>
    </row>
    <row r="24" spans="1:17">
      <c r="A24" s="477" t="s">
        <v>112</v>
      </c>
      <c r="B24" s="478">
        <f t="shared" ca="1" si="2"/>
        <v>360.95657282594863</v>
      </c>
      <c r="C24" s="478">
        <f t="shared" ca="1" si="3"/>
        <v>18.78526539318441</v>
      </c>
      <c r="D24" s="478">
        <f t="shared" si="4"/>
        <v>1529.3548068439036</v>
      </c>
      <c r="E24" s="478">
        <f t="shared" si="5"/>
        <v>10.163210377170749</v>
      </c>
      <c r="F24" s="478">
        <f t="shared" si="6"/>
        <v>1694.492490013035</v>
      </c>
      <c r="G24" s="478">
        <f t="shared" si="7"/>
        <v>0</v>
      </c>
      <c r="H24" s="478">
        <f t="shared" si="8"/>
        <v>0</v>
      </c>
      <c r="I24" s="478">
        <f t="shared" si="9"/>
        <v>0</v>
      </c>
      <c r="J24" s="478">
        <f t="shared" si="10"/>
        <v>88.485716440672988</v>
      </c>
      <c r="K24" s="478">
        <f t="shared" si="11"/>
        <v>0</v>
      </c>
      <c r="L24" s="478">
        <f t="shared" si="12"/>
        <v>0</v>
      </c>
      <c r="M24" s="478">
        <f t="shared" si="13"/>
        <v>0</v>
      </c>
      <c r="N24" s="478">
        <f t="shared" si="14"/>
        <v>0</v>
      </c>
      <c r="O24" s="478">
        <f t="shared" si="15"/>
        <v>0</v>
      </c>
      <c r="P24" s="479">
        <f t="shared" si="16"/>
        <v>0</v>
      </c>
      <c r="Q24" s="477">
        <f t="shared" ca="1" si="17"/>
        <v>3702.2380618939155</v>
      </c>
    </row>
    <row r="25" spans="1:17">
      <c r="A25" s="477" t="s">
        <v>638</v>
      </c>
      <c r="B25" s="478">
        <f t="shared" ca="1" si="2"/>
        <v>34548.942694414611</v>
      </c>
      <c r="C25" s="478">
        <f t="shared" ca="1" si="3"/>
        <v>1336.3501804094599</v>
      </c>
      <c r="D25" s="478">
        <f t="shared" si="4"/>
        <v>36267.318880791325</v>
      </c>
      <c r="E25" s="478">
        <f t="shared" si="5"/>
        <v>2385.305255829534</v>
      </c>
      <c r="F25" s="478">
        <f t="shared" si="6"/>
        <v>11515.799270210538</v>
      </c>
      <c r="G25" s="478">
        <f t="shared" si="7"/>
        <v>0</v>
      </c>
      <c r="H25" s="478">
        <f t="shared" si="8"/>
        <v>0</v>
      </c>
      <c r="I25" s="478">
        <f t="shared" si="9"/>
        <v>0</v>
      </c>
      <c r="J25" s="478">
        <f t="shared" si="10"/>
        <v>407.01305590369719</v>
      </c>
      <c r="K25" s="478">
        <f t="shared" si="11"/>
        <v>0</v>
      </c>
      <c r="L25" s="478">
        <f t="shared" si="12"/>
        <v>0</v>
      </c>
      <c r="M25" s="478">
        <f t="shared" si="13"/>
        <v>0</v>
      </c>
      <c r="N25" s="478">
        <f t="shared" si="14"/>
        <v>0</v>
      </c>
      <c r="O25" s="478">
        <f t="shared" si="15"/>
        <v>0</v>
      </c>
      <c r="P25" s="479">
        <f t="shared" si="16"/>
        <v>0</v>
      </c>
      <c r="Q25" s="477">
        <f t="shared" ca="1" si="17"/>
        <v>86460.729337559154</v>
      </c>
    </row>
    <row r="26" spans="1:17" s="483" customFormat="1">
      <c r="A26" s="481" t="s">
        <v>564</v>
      </c>
      <c r="B26" s="835">
        <f t="shared" ca="1" si="2"/>
        <v>9.611926446804631</v>
      </c>
      <c r="C26" s="482">
        <f t="shared" ca="1" si="3"/>
        <v>0</v>
      </c>
      <c r="D26" s="482">
        <f t="shared" si="4"/>
        <v>21.055098290564569</v>
      </c>
      <c r="E26" s="482">
        <f t="shared" si="5"/>
        <v>91.206622132472418</v>
      </c>
      <c r="F26" s="482">
        <f t="shared" si="6"/>
        <v>0</v>
      </c>
      <c r="G26" s="482">
        <f t="shared" si="7"/>
        <v>38310.846351443579</v>
      </c>
      <c r="H26" s="482">
        <f t="shared" si="8"/>
        <v>6972.4156124891742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45405.135610802594</v>
      </c>
    </row>
    <row r="27" spans="1:17">
      <c r="A27" s="477" t="s">
        <v>554</v>
      </c>
      <c r="B27" s="478">
        <f t="shared" ca="1" si="2"/>
        <v>0</v>
      </c>
      <c r="C27" s="478">
        <f t="shared" ca="1" si="3"/>
        <v>0</v>
      </c>
      <c r="D27" s="478">
        <f t="shared" si="4"/>
        <v>0</v>
      </c>
      <c r="E27" s="478">
        <f t="shared" si="5"/>
        <v>0</v>
      </c>
      <c r="F27" s="478">
        <f t="shared" si="6"/>
        <v>0</v>
      </c>
      <c r="G27" s="478">
        <f t="shared" si="7"/>
        <v>676.18926503893681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676.18926503893681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57221.528360268312</v>
      </c>
      <c r="C31" s="488">
        <f t="shared" ca="1" si="18"/>
        <v>1355.1354458026442</v>
      </c>
      <c r="D31" s="488">
        <f t="shared" ca="1" si="18"/>
        <v>79791.761119319941</v>
      </c>
      <c r="E31" s="488">
        <f t="shared" si="18"/>
        <v>6028.5208021909029</v>
      </c>
      <c r="F31" s="488">
        <f t="shared" ca="1" si="18"/>
        <v>26197.514358199816</v>
      </c>
      <c r="G31" s="488">
        <f t="shared" si="18"/>
        <v>38987.035616482513</v>
      </c>
      <c r="H31" s="488">
        <f t="shared" si="18"/>
        <v>6972.4156124891742</v>
      </c>
      <c r="I31" s="488">
        <f t="shared" si="18"/>
        <v>0</v>
      </c>
      <c r="J31" s="488">
        <f t="shared" si="18"/>
        <v>495.4987723443702</v>
      </c>
      <c r="K31" s="488">
        <f t="shared" si="18"/>
        <v>0</v>
      </c>
      <c r="L31" s="488">
        <f t="shared" ca="1" si="18"/>
        <v>0</v>
      </c>
      <c r="M31" s="488">
        <f t="shared" si="18"/>
        <v>0</v>
      </c>
      <c r="N31" s="488">
        <f t="shared" ca="1" si="18"/>
        <v>0</v>
      </c>
      <c r="O31" s="488">
        <f t="shared" si="18"/>
        <v>0</v>
      </c>
      <c r="P31" s="489">
        <f t="shared" si="18"/>
        <v>0</v>
      </c>
      <c r="Q31" s="489">
        <f t="shared" ca="1" si="18"/>
        <v>217049.41008709764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0.20789142528087418</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3.1266666666666669</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2</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38.133333333333333</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0.20789142528087418</v>
      </c>
      <c r="C17" s="528">
        <f ca="1">'EF ele_warmte'!B22</f>
        <v>0.2375733654061262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0.20789142528087418</v>
      </c>
      <c r="C29" s="529">
        <f ca="1">'EF ele_warmte'!B22</f>
        <v>0.2375733654061262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2018-06-27T09:44:05Z</dcterms:modified>
</cp:coreProperties>
</file>