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N16" i="16"/>
  <c r="D6" i="17"/>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F10"/>
  <c r="J5" i="48"/>
  <c r="J22" s="1"/>
  <c r="J20" i="15"/>
  <c r="K36" i="14"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Q5" i="48"/>
  <c r="N22" i="16"/>
  <c r="O39" i="14" s="1"/>
  <c r="O41" s="1"/>
  <c r="F8" i="48"/>
  <c r="Q4"/>
  <c r="N22"/>
  <c r="R11" i="14"/>
  <c r="J21" i="48"/>
  <c r="R10" i="14"/>
  <c r="J8" i="48" l="1"/>
  <c r="J25" s="1"/>
  <c r="J31" s="1"/>
  <c r="C56" i="22"/>
  <c r="C58" s="1"/>
  <c r="D44" i="14" s="1"/>
  <c r="D46" s="1"/>
  <c r="C10" i="17"/>
  <c r="C12" s="1"/>
  <c r="D48" i="14" s="1"/>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H55"/>
  <c r="E55"/>
  <c r="C78"/>
  <c r="C81" s="1"/>
  <c r="J14" i="48"/>
  <c r="R19" i="14"/>
  <c r="R20" s="1"/>
  <c r="H14" i="48"/>
  <c r="G31"/>
  <c r="H26"/>
  <c r="H31" s="1"/>
  <c r="O53" i="14"/>
  <c r="M53"/>
  <c r="M55" s="1"/>
  <c r="C24" i="48"/>
  <c r="K55" i="14"/>
  <c r="R13"/>
  <c r="R15" s="1"/>
  <c r="F25" i="48"/>
  <c r="F31" s="1"/>
  <c r="F14"/>
  <c r="C27" l="1"/>
  <c r="C25"/>
  <c r="C29"/>
  <c r="Q8"/>
  <c r="Q14" s="1"/>
  <c r="C28"/>
  <c r="C22"/>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<sst xmlns="http://schemas.openxmlformats.org/spreadsheetml/2006/main" count="1951" uniqueCount="830">
  <si>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</si>
  <si>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</si>
  <si>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</si>
  <si>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</si>
  <si>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</si>
  <si>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</si>
  <si>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</si>
  <si>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</si>
  <si>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</si>
  <si>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</si>
  <si>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</si>
  <si>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</si>
  <si>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</si>
  <si>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</si>
  <si>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</si>
  <si>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</si>
  <si>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</si>
  <si>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</si>
  <si>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</si>
  <si>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</si>
  <si>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</si>
  <si>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</si>
  <si>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</si>
  <si>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</si>
  <si>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</si>
  <si>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</si>
  <si>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</si>
  <si>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</si>
  <si>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</si>
  <si>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</si>
  <si>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</si>
  <si>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</si>
  <si>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</si>
  <si>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</si>
  <si>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</si>
  <si>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</si>
  <si>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</si>
  <si>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</si>
  <si>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</si>
  <si>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</si>
  <si>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</si>
  <si>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</si>
  <si>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</si>
  <si>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</si>
  <si>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</si>
  <si>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</si>
  <si>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</si>
  <si>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</si>
  <si>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</si>
  <si>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</si>
  <si>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</si>
  <si>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</si>
  <si>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</si>
  <si>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</si>
  <si>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</si>
  <si>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</si>
  <si>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</si>
  <si>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</si>
  <si>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</si>
  <si>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</si>
  <si>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</si>
  <si>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</si>
  <si>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</si>
  <si>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</si>
  <si>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</si>
  <si>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</si>
  <si>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</si>
  <si>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</si>
  <si>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</si>
  <si>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</si>
  <si>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</si>
  <si>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</si>
  <si>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</si>
  <si>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</si>
  <si>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</si>
  <si>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</si>
  <si>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</si>
  <si>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</si>
  <si>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</si>
  <si>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</si>
  <si>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</si>
  <si>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</si>
  <si>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</si>
  <si>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</si>
  <si>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</si>
  <si>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</si>
  <si>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</si>
  <si>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</si>
  <si>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</si>
  <si>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</si>
  <si>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</si>
  <si>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</si>
  <si>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</si>
  <si>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</si>
  <si>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</si>
  <si>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</si>
  <si>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</si>
  <si>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</si>
  <si>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</si>
  <si>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</si>
  <si>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</si>
  <si>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</si>
  <si>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</si>
  <si>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</si>
  <si>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</si>
  <si>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</si>
  <si>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</si>
  <si>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</si>
  <si>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</si>
  <si>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</si>
  <si>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</si>
  <si>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</si>
  <si>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</si>
  <si>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</si>
  <si>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</si>
  <si>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</si>
  <si>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</si>
  <si>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</si>
  <si>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</si>
  <si>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</si>
  <si>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</si>
  <si>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</si>
  <si>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</si>
  <si>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</si>
  <si>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</si>
  <si>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</si>
  <si>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</si>
  <si>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</si>
  <si>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</si>
  <si>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</si>
  <si>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</si>
  <si>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</si>
  <si>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</si>
  <si>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</si>
  <si>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</si>
  <si>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</si>
  <si>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</si>
  <si>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</si>
  <si>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</si>
  <si>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</si>
  <si>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</si>
  <si>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</si>
  <si>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</si>
  <si>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</si>
  <si>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</si>
  <si>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</si>
  <si>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</si>
  <si>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</si>
  <si>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</si>
  <si>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</si>
  <si>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</si>
  <si>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</si>
  <si>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</si>
  <si>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</si>
  <si>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</si>
  <si>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</si>
  <si>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</si>
  <si>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</si>
  <si>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</si>
  <si>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</si>
  <si>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</si>
  <si>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</si>
  <si>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</si>
  <si>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</si>
  <si>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</si>
  <si>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</si>
  <si>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</si>
  <si>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</si>
  <si>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</si>
  <si>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</si>
  <si>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</si>
  <si>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</si>
  <si>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</si>
  <si>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</si>
  <si>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</si>
  <si>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</si>
  <si>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</si>
  <si>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</si>
  <si>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</si>
  <si>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</si>
  <si>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</si>
  <si>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</si>
  <si>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</si>
  <si>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</si>
  <si>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</si>
  <si>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</si>
  <si>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</si>
  <si>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</si>
  <si>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</si>
  <si>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</si>
  <si>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</si>
  <si>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</si>
  <si>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</si>
  <si>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</si>
  <si>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</si>
  <si>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</si>
  <si>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</si>
  <si>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</si>
  <si>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</si>
  <si>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</si>
  <si>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</si>
  <si>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</si>
  <si>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</si>
  <si>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</si>
  <si>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</si>
  <si>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</si>
  <si>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</si>
  <si>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</si>
  <si>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</si>
  <si>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</si>
  <si>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</si>
  <si>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</si>
  <si>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</si>
  <si>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</si>
  <si>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</si>
  <si>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</si>
  <si>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</si>
  <si>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</si>
  <si>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</si>
  <si>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</si>
  <si>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</si>
  <si>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</si>
  <si>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</si>
  <si>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</si>
  <si>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</si>
  <si>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</si>
  <si>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</si>
  <si>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</si>
  <si>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</si>
  <si>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</si>
  <si>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</si>
  <si>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</si>
  <si>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</si>
  <si>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</si>
  <si>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</si>
  <si>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</si>
  <si>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</si>
  <si>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</si>
  <si>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</si>
  <si>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</si>
  <si>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</si>
  <si>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</si>
  <si>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</si>
  <si>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</si>
  <si>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</si>
  <si>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</si>
  <si>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</si>
  <si>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</si>
  <si>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</si>
  <si>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</si>
  <si>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</si>
  <si>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</si>
  <si>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</si>
  <si>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</si>
  <si>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</si>
  <si>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</si>
  <si>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</si>
  <si>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</si>
  <si>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</si>
  <si>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</si>
  <si>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</si>
  <si>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</si>
  <si>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</si>
  <si>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</si>
  <si>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</si>
  <si>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</si>
  <si>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</si>
  <si>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</si>
  <si>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</si>
  <si>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</si>
  <si>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</si>
  <si>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</si>
  <si>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</si>
  <si>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</si>
  <si>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</si>
  <si>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</si>
  <si>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</si>
  <si>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</si>
  <si>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</si>
  <si>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</si>
  <si>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</si>
  <si>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</si>
  <si>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</si>
  <si>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</si>
  <si>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</si>
  <si>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</si>
  <si>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</si>
  <si>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</si>
  <si>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</si>
  <si>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</si>
  <si>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</si>
  <si>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</si>
  <si>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</si>
  <si>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</si>
  <si>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</si>
  <si>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</si>
  <si>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</si>
  <si>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</si>
  <si>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</si>
  <si>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</si>
  <si>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</si>
  <si>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</si>
  <si>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</si>
  <si>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</si>
  <si>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</si>
  <si>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</si>
  <si>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</si>
  <si>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</si>
  <si>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</si>
  <si>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</si>
  <si>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</si>
  <si>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</si>
  <si>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</si>
  <si>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</si>
  <si>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</si>
  <si>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</si>
  <si>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</si>
  <si>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</si>
  <si>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</si>
  <si>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</si>
  <si>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</si>
  <si>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</si>
  <si>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</si>
  <si>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</si>
  <si>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</si>
  <si>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</si>
  <si>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</si>
  <si>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</si>
  <si>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</si>
  <si>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</si>
  <si>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</si>
  <si>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</si>
  <si>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</si>
  <si>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</si>
  <si>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</si>
  <si>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</si>
  <si>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</si>
  <si>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</si>
  <si>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</si>
  <si>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</si>
  <si>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</si>
  <si>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</si>
  <si>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</si>
  <si>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</si>
  <si>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</si>
  <si>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</si>
  <si>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</si>
  <si>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</si>
  <si>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</si>
  <si>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</si>
  <si>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</si>
  <si>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</si>
  <si>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</si>
  <si>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</si>
  <si>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</si>
  <si>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</si>
  <si>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</si>
  <si>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</si>
  <si>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</si>
  <si>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</si>
  <si>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</si>
  <si>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</si>
  <si>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</si>
  <si>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</si>
  <si>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</si>
  <si>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</si>
  <si>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</si>
  <si>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</si>
  <si>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</si>
  <si>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</si>
  <si>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</si>
  <si>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</si>
  <si>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</si>
  <si>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</si>
  <si>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</si>
  <si>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</si>
  <si>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</si>
  <si>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</si>
  <si>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</si>
  <si>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</si>
  <si>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</si>
  <si>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</si>
  <si>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</si>
  <si>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</si>
  <si>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</si>
  <si>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</si>
  <si>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</si>
  <si>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</si>
  <si>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</si>
  <si>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</si>
  <si>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</si>
  <si>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</si>
  <si>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</si>
  <si>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</si>
  <si>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</si>
  <si>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</si>
  <si>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</si>
  <si>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</si>
  <si>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</si>
  <si>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</si>
  <si>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</si>
  <si>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</si>
  <si>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</si>
  <si>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</si>
  <si>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</si>
  <si>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</si>
  <si>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</si>
  <si>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</si>
  <si>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</si>
  <si>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</si>
  <si>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</si>
  <si>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</si>
  <si>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</si>
  <si>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</si>
  <si>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</si>
  <si>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</si>
  <si>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</si>
  <si>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</si>
  <si>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</si>
  <si>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</si>
  <si>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</si>
  <si>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</si>
  <si>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</si>
  <si>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</si>
  <si>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</si>
  <si>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</si>
  <si>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</si>
  <si>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</si>
  <si>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</si>
  <si>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</si>
  <si>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</si>
  <si>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</si>
  <si>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</si>
  <si>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</si>
  <si>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</si>
  <si>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</si>
  <si>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</si>
  <si>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</si>
  <si>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</si>
  <si>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</si>
  <si>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</si>
  <si>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</si>
  <si>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</si>
  <si>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</si>
  <si>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</si>
  <si>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</si>
  <si>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</si>
  <si>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</si>
  <si>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</si>
  <si>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</si>
  <si>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</si>
  <si>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</si>
  <si>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</si>
  <si>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</si>
  <si>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</si>
  <si>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</si>
  <si>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</si>
  <si>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</si>
  <si>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</si>
  <si>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</si>
  <si>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</si>
  <si>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</si>
  <si>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</si>
  <si>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</si>
  <si>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</si>
  <si>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</si>
  <si>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</si>
  <si>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</si>
  <si>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</si>
  <si>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</si>
  <si>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</si>
  <si>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</si>
  <si>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</si>
  <si>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</si>
  <si>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</si>
  <si>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</si>
  <si>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</si>
  <si>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</si>
  <si>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</si>
  <si>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</si>
  <si>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</si>
  <si>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</si>
  <si>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</si>
  <si>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</si>
  <si>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</si>
  <si>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</si>
  <si>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</si>
  <si>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</si>
  <si>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</si>
  <si>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</si>
  <si>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</si>
  <si>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</si>
  <si>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</si>
  <si>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</si>
  <si>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</si>
  <si>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</si>
  <si>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</si>
  <si>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</si>
  <si>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</si>
  <si>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</si>
  <si>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</si>
  <si>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</si>
  <si>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</si>
  <si>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</si>
  <si>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</si>
  <si>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</si>
  <si>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</si>
  <si>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</si>
  <si>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</si>
  <si>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</si>
  <si>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</si>
  <si>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</si>
  <si>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</si>
  <si>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</si>
  <si>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</si>
  <si>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</si>
  <si>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</si>
  <si>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</si>
  <si>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</si>
  <si>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</si>
  <si>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</si>
  <si>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</si>
  <si>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</si>
  <si>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</si>
  <si>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</si>
  <si>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</si>
  <si>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</si>
  <si>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</si>
  <si>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</si>
  <si>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</si>
  <si>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</si>
  <si>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</si>
  <si>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</si>
  <si>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</si>
  <si>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</si>
  <si>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</si>
  <si>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</si>
  <si>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</si>
  <si>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</si>
  <si>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</si>
  <si>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</si>
  <si>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</si>
  <si>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</si>
  <si>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</si>
  <si>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</si>
  <si>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</si>
  <si>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</si>
  <si>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</si>
  <si>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</si>
  <si>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</si>
  <si>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</si>
  <si>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</si>
  <si>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</si>
  <si>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</si>
  <si>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</si>
  <si>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</si>
  <si>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</si>
  <si>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</si>
  <si>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</si>
  <si>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</si>
  <si>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</si>
  <si>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</si>
  <si>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</si>
  <si>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</si>
  <si>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</si>
  <si>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</si>
  <si>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</si>
  <si>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</si>
  <si>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</si>
  <si>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</si>
  <si>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</si>
  <si>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</si>
  <si>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</si>
  <si>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</si>
  <si>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</si>
  <si>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</si>
  <si>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</si>
  <si>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</si>
  <si>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</si>
  <si>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</si>
  <si>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</si>
  <si>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</si>
  <si>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</si>
  <si>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</si>
  <si>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</si>
  <si>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</si>
  <si>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</si>
  <si>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</si>
  <si>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</si>
  <si>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</si>
  <si>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</si>
  <si>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</si>
  <si>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</si>
  <si>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</si>
  <si>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</si>
  <si>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</si>
  <si>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</si>
  <si>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</si>
  <si>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</si>
  <si>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</si>
  <si>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</si>
  <si>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</si>
  <si>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</si>
  <si>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</si>
  <si>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</si>
  <si>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</si>
  <si>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</si>
  <si>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</si>
  <si>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</si>
  <si>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</si>
  <si>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</si>
  <si>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</si>
  <si>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</si>
  <si>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</si>
  <si>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</si>
  <si>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</si>
  <si>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</si>
  <si>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</si>
  <si>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</si>
  <si>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</si>
  <si>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</si>
  <si>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</si>
  <si>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</si>
  <si>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</si>
  <si>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</si>
  <si>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</si>
  <si>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</si>
  <si>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</si>
  <si>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</si>
  <si>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</si>
  <si>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</si>
  <si>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</si>
  <si>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</si>
  <si>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</si>
  <si>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</si>
  <si>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</si>
  <si>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</si>
  <si>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</si>
  <si>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</si>
  <si>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</si>
  <si>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</si>
  <si>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</si>
  <si>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</si>
  <si>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</si>
  <si>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</si>
  <si>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</si>
  <si>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</si>
  <si>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</si>
  <si>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</si>
  <si>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</si>
  <si>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</si>
  <si>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</si>
  <si>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</si>
  <si>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</si>
  <si>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</si>
  <si>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</si>
  <si>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</si>
  <si>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</si>
  <si>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</si>
  <si>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</si>
  <si>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</si>
  <si>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</si>
  <si>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</si>
  <si>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</si>
  <si>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</si>
  <si>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</si>
  <si>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</si>
  <si>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</si>
  <si>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</si>
  <si>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</si>
  <si>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</si>
  <si>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</si>
  <si>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</si>
  <si>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</si>
  <si>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</si>
  <si>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</si>
  <si>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</si>
  <si>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</si>
  <si>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</si>
  <si>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</si>
  <si>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</si>
  <si>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</si>
  <si>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</si>
  <si>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</si>
  <si>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</si>
  <si>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</si>
  <si>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</si>
  <si>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</si>
  <si>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</si>
  <si>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</si>
  <si>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</si>
  <si>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</si>
  <si>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</si>
  <si>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</si>
  <si>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</si>
  <si>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</si>
  <si>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</si>
  <si>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</si>
  <si>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</si>
  <si>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</si>
  <si>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</si>
  <si>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</si>
  <si>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</si>
  <si>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</si>
  <si>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</si>
  <si>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</si>
  <si>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</si>
  <si>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</si>
  <si>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</si>
  <si>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</si>
  <si>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</si>
  <si>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</si>
  <si>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</si>
  <si>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</si>
  <si>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</si>
  <si>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</si>
  <si>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</si>
  <si>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</si>
  <si>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</si>
  <si>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</si>
  <si>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</si>
  <si>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</si>
  <si>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</si>
  <si>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</si>
  <si>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</si>
  <si>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</si>
  <si>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</si>
  <si>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</si>
  <si>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</si>
  <si>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</si>
  <si>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</si>
  <si>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</si>
  <si>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</si>
  <si>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</si>
  <si>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</si>
  <si>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</si>
  <si>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</si>
  <si>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</si>
  <si>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</si>
  <si>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</si>
  <si>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</si>
  <si>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</si>
  <si>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</si>
  <si>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</si>
  <si>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</si>
  <si>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</si>
  <si>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</si>
  <si>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</si>
  <si>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</si>
  <si>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</si>
  <si>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</si>
  <si>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</si>
  <si>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</si>
  <si>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</si>
  <si>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</si>
  <si>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</si>
  <si>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</si>
  <si>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</si>
  <si>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</si>
  <si>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</si>
  <si>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</si>
  <si>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</si>
  <si>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</si>
  <si>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</si>
  <si>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</si>
  <si>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</si>
  <si>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</si>
  <si>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</si>
  <si>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</si>
  <si>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</si>
  <si>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</si>
  <si>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</si>
  <si>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</si>
  <si>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</si>
  <si>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</si>
  <si>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</si>
  <si>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</si>
  <si>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</si>
  <si>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</si>
  <si>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</si>
  <si>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</si>
  <si>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</si>
  <si>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</si>
  <si>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</si>
  <si>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</si>
  <si>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</si>
  <si>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</si>
  <si>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</si>
  <si>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</si>
  <si>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</si>
  <si>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</si>
  <si>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</si>
  <si>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</si>
  <si>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</si>
  <si>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</si>
  <si>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</si>
  <si>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</si>
  <si>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</si>
  <si>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</si>
  <si>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</si>
  <si>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</si>
  <si>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</si>
  <si>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</si>
  <si>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</si>
  <si>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</si>
  <si>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</si>
  <si>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</si>
  <si>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</si>
  <si>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</si>
  <si>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</si>
  <si>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44049</t>
  </si>
  <si>
    <t>NEVELE</t>
  </si>
  <si>
    <t>Paarden&amp;pony's 200 - 600 kg</t>
  </si>
  <si>
    <t>Paarden&amp;pony's &lt; 200 kg</t>
  </si>
  <si>
    <t>referentietaak LNE (2017); Jaarverslag De Lijn (2015)</t>
  </si>
  <si>
    <t>op basis van VEA (maart 2018) en Inventaris Hernieuwbare Energiebronnen (juni 2018)</t>
  </si>
  <si>
    <t>VEA (januari 2017)</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</si>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</sst>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102432.28038715261</c:v>
                </c:pt>
                <c:pt idx="1">
                  <c:v>31726.96288861458</c:v>
                </c:pt>
                <c:pt idx="2">
                  <c:v>1173.482</c:v>
                </c:pt>
                <c:pt idx="3">
                  <c:v>67409.922943323501</c:v>
                </c:pt>
                <c:pt idx="4">
                  <c:v>6876.9856627852059</c:v>
                </c:pt>
                <c:pt idx="5">
                  <c:v>272313.34410395921</c:v>
                </c:pt>
                <c:pt idx="6">
                  <c:v>353.52379652501378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102432.28038715261</c:v>
                </c:pt>
                <c:pt idx="1">
                  <c:v>31726.96288861458</c:v>
                </c:pt>
                <c:pt idx="2">
                  <c:v>1173.482</c:v>
                </c:pt>
                <c:pt idx="3">
                  <c:v>67409.922943323501</c:v>
                </c:pt>
                <c:pt idx="4">
                  <c:v>6876.9856627852059</c:v>
                </c:pt>
                <c:pt idx="5">
                  <c:v>272313.34410395921</c:v>
                </c:pt>
                <c:pt idx="6">
                  <c:v>353.52379652501378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19577.136927328291</c:v>
                </c:pt>
                <c:pt idx="1">
                  <c:v>6477.8913304421194</c:v>
                </c:pt>
                <c:pt idx="2">
                  <c:v>248.2958518250268</c:v>
                </c:pt>
                <c:pt idx="3">
                  <c:v>15935.940513796741</c:v>
                </c:pt>
                <c:pt idx="4">
                  <c:v>1337.0767375860648</c:v>
                </c:pt>
                <c:pt idx="5">
                  <c:v>69810.187817380778</c:v>
                </c:pt>
                <c:pt idx="6">
                  <c:v>91.551142061990888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75296"/>
      </c:barChart>
      <c:catAx>
        <c:axId val="183421952"/>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19577.136927328291</c:v>
                </c:pt>
                <c:pt idx="1">
                  <c:v>6477.8913304421194</c:v>
                </c:pt>
                <c:pt idx="2">
                  <c:v>248.2958518250268</c:v>
                </c:pt>
                <c:pt idx="3">
                  <c:v>15935.940513796741</c:v>
                </c:pt>
                <c:pt idx="4">
                  <c:v>1337.0767375860648</c:v>
                </c:pt>
                <c:pt idx="5">
                  <c:v>69810.187817380778</c:v>
                </c:pt>
                <c:pt idx="6">
                  <c:v>91.551142061990888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44049</v>
      </c>
      <c r="B6" s="415"/>
      <c r="C6" s="416"/>
    </row>
    <row r="7" spans="1:7" s="413" customFormat="1" ht="15.75" customHeight="1">
      <c r="A7" s="417" t="str">
        <f>txtMunicipality</f>
        <v>NEVELE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4864</v>
      </c>
      <c r="C9" s="342">
        <v>4994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3454.2</v>
      </c>
    </row>
    <row r="15" spans="1:6">
      <c r="A15" s="348" t="s">
        <v>184</v>
      </c>
      <c r="B15" s="334">
        <v>562</v>
      </c>
    </row>
    <row r="16" spans="1:6">
      <c r="A16" s="348" t="s">
        <v>6</v>
      </c>
      <c r="B16" s="334">
        <v>1722</v>
      </c>
    </row>
    <row r="17" spans="1:6">
      <c r="A17" s="348" t="s">
        <v>7</v>
      </c>
      <c r="B17" s="334">
        <v>1091</v>
      </c>
    </row>
    <row r="18" spans="1:6">
      <c r="A18" s="348" t="s">
        <v>8</v>
      </c>
      <c r="B18" s="334">
        <v>1803</v>
      </c>
    </row>
    <row r="19" spans="1:6">
      <c r="A19" s="348" t="s">
        <v>9</v>
      </c>
      <c r="B19" s="334">
        <v>1801</v>
      </c>
    </row>
    <row r="20" spans="1:6">
      <c r="A20" s="348" t="s">
        <v>10</v>
      </c>
      <c r="B20" s="334">
        <v>1017</v>
      </c>
    </row>
    <row r="21" spans="1:6">
      <c r="A21" s="348" t="s">
        <v>11</v>
      </c>
      <c r="B21" s="334">
        <v>10362</v>
      </c>
    </row>
    <row r="22" spans="1:6">
      <c r="A22" s="348" t="s">
        <v>12</v>
      </c>
      <c r="B22" s="334">
        <v>36054</v>
      </c>
    </row>
    <row r="23" spans="1:6">
      <c r="A23" s="348" t="s">
        <v>13</v>
      </c>
      <c r="B23" s="334">
        <v>314</v>
      </c>
    </row>
    <row r="24" spans="1:6">
      <c r="A24" s="348" t="s">
        <v>14</v>
      </c>
      <c r="B24" s="334">
        <v>32</v>
      </c>
    </row>
    <row r="25" spans="1:6">
      <c r="A25" s="348" t="s">
        <v>15</v>
      </c>
      <c r="B25" s="334">
        <v>2602</v>
      </c>
    </row>
    <row r="26" spans="1:6">
      <c r="A26" s="348" t="s">
        <v>16</v>
      </c>
      <c r="B26" s="334">
        <v>316</v>
      </c>
    </row>
    <row r="27" spans="1:6">
      <c r="A27" s="348" t="s">
        <v>17</v>
      </c>
      <c r="B27" s="334">
        <v>8</v>
      </c>
    </row>
    <row r="28" spans="1:6" s="356" customFormat="1">
      <c r="A28" s="355" t="s">
        <v>18</v>
      </c>
      <c r="B28" s="355">
        <v>264672</v>
      </c>
    </row>
    <row r="29" spans="1:6">
      <c r="A29" s="355" t="s">
        <v>812</v>
      </c>
      <c r="B29" s="355">
        <v>253</v>
      </c>
      <c r="C29" s="356"/>
      <c r="D29" s="356"/>
      <c r="E29" s="356"/>
      <c r="F29" s="356"/>
    </row>
    <row r="30" spans="1:6">
      <c r="A30" s="355" t="s">
        <v>813</v>
      </c>
      <c r="B30" s="341">
        <v>56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21329.922294</v>
      </c>
      <c r="E38" s="334">
        <v>4</v>
      </c>
      <c r="F38" s="334">
        <v>11193.348910999999</v>
      </c>
    </row>
    <row r="39" spans="1:6">
      <c r="A39" s="348" t="s">
        <v>30</v>
      </c>
      <c r="B39" s="348" t="s">
        <v>31</v>
      </c>
      <c r="C39" s="334">
        <v>2131</v>
      </c>
      <c r="D39" s="334">
        <v>31199051.774</v>
      </c>
      <c r="E39" s="334">
        <v>4559</v>
      </c>
      <c r="F39" s="334">
        <v>21392357.602000002</v>
      </c>
    </row>
    <row r="40" spans="1:6">
      <c r="A40" s="348" t="s">
        <v>30</v>
      </c>
      <c r="B40" s="348" t="s">
        <v>29</v>
      </c>
      <c r="C40" s="334">
        <v>0</v>
      </c>
      <c r="D40" s="334">
        <v>0</v>
      </c>
      <c r="E40" s="334">
        <v>1</v>
      </c>
      <c r="F40" s="334">
        <v>8314.9791206000009</v>
      </c>
    </row>
    <row r="41" spans="1:6">
      <c r="A41" s="348" t="s">
        <v>32</v>
      </c>
      <c r="B41" s="348" t="s">
        <v>33</v>
      </c>
      <c r="C41" s="334">
        <v>33</v>
      </c>
      <c r="D41" s="334">
        <v>481219.13461000001</v>
      </c>
      <c r="E41" s="334">
        <v>109</v>
      </c>
      <c r="F41" s="334">
        <v>924371.83048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160346.13516999999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28666.751807000001</v>
      </c>
      <c r="E47" s="334">
        <v>4</v>
      </c>
      <c r="F47" s="334">
        <v>45962.425404000001</v>
      </c>
    </row>
    <row r="48" spans="1:6">
      <c r="A48" s="348" t="s">
        <v>32</v>
      </c>
      <c r="B48" s="348" t="s">
        <v>29</v>
      </c>
      <c r="C48" s="334">
        <v>17</v>
      </c>
      <c r="D48" s="334">
        <v>1432426.808</v>
      </c>
      <c r="E48" s="334">
        <v>26</v>
      </c>
      <c r="F48" s="334">
        <v>553726.48893999995</v>
      </c>
    </row>
    <row r="49" spans="1:6">
      <c r="A49" s="348" t="s">
        <v>32</v>
      </c>
      <c r="B49" s="348" t="s">
        <v>40</v>
      </c>
      <c r="C49" s="334">
        <v>0</v>
      </c>
      <c r="D49" s="334">
        <v>0</v>
      </c>
      <c r="E49" s="334">
        <v>0</v>
      </c>
      <c r="F49" s="334">
        <v>0</v>
      </c>
    </row>
    <row r="50" spans="1:6">
      <c r="A50" s="348" t="s">
        <v>32</v>
      </c>
      <c r="B50" s="348" t="s">
        <v>41</v>
      </c>
      <c r="C50" s="334">
        <v>4</v>
      </c>
      <c r="D50" s="334">
        <v>411378.39653999999</v>
      </c>
      <c r="E50" s="334">
        <v>10</v>
      </c>
      <c r="F50" s="334">
        <v>805372.54694999999</v>
      </c>
    </row>
    <row r="51" spans="1:6">
      <c r="A51" s="348" t="s">
        <v>42</v>
      </c>
      <c r="B51" s="348" t="s">
        <v>43</v>
      </c>
      <c r="C51" s="334">
        <v>17</v>
      </c>
      <c r="D51" s="334">
        <v>83716011.761999995</v>
      </c>
      <c r="E51" s="334">
        <v>196</v>
      </c>
      <c r="F51" s="334">
        <v>4486176.2685000002</v>
      </c>
    </row>
    <row r="52" spans="1:6">
      <c r="A52" s="348" t="s">
        <v>42</v>
      </c>
      <c r="B52" s="348" t="s">
        <v>29</v>
      </c>
      <c r="C52" s="334">
        <v>3</v>
      </c>
      <c r="D52" s="334">
        <v>329490.24034999998</v>
      </c>
      <c r="E52" s="334">
        <v>3</v>
      </c>
      <c r="F52" s="334">
        <v>34232.545975000001</v>
      </c>
    </row>
    <row r="53" spans="1:6">
      <c r="A53" s="348" t="s">
        <v>44</v>
      </c>
      <c r="B53" s="348" t="s">
        <v>45</v>
      </c>
      <c r="C53" s="334">
        <v>46</v>
      </c>
      <c r="D53" s="334">
        <v>717652.46941000002</v>
      </c>
      <c r="E53" s="334">
        <v>182</v>
      </c>
      <c r="F53" s="334">
        <v>826445.69244000001</v>
      </c>
    </row>
    <row r="54" spans="1:6">
      <c r="A54" s="348" t="s">
        <v>46</v>
      </c>
      <c r="B54" s="348" t="s">
        <v>47</v>
      </c>
      <c r="C54" s="334">
        <v>0</v>
      </c>
      <c r="D54" s="334">
        <v>0</v>
      </c>
      <c r="E54" s="334">
        <v>6</v>
      </c>
      <c r="F54" s="334">
        <v>1173482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1744485.1669000001</v>
      </c>
      <c r="E57" s="334">
        <v>102</v>
      </c>
      <c r="F57" s="334">
        <v>1449486.2829</v>
      </c>
    </row>
    <row r="58" spans="1:6">
      <c r="A58" s="348" t="s">
        <v>49</v>
      </c>
      <c r="B58" s="348" t="s">
        <v>51</v>
      </c>
      <c r="C58" s="334">
        <v>17</v>
      </c>
      <c r="D58" s="334">
        <v>1523960.1573999999</v>
      </c>
      <c r="E58" s="334">
        <v>33</v>
      </c>
      <c r="F58" s="334">
        <v>550874.39064999996</v>
      </c>
    </row>
    <row r="59" spans="1:6">
      <c r="A59" s="348" t="s">
        <v>49</v>
      </c>
      <c r="B59" s="348" t="s">
        <v>52</v>
      </c>
      <c r="C59" s="334">
        <v>27</v>
      </c>
      <c r="D59" s="334">
        <v>659851.14708999998</v>
      </c>
      <c r="E59" s="334">
        <v>127</v>
      </c>
      <c r="F59" s="334">
        <v>3119630.5455999998</v>
      </c>
    </row>
    <row r="60" spans="1:6">
      <c r="A60" s="348" t="s">
        <v>49</v>
      </c>
      <c r="B60" s="348" t="s">
        <v>53</v>
      </c>
      <c r="C60" s="334">
        <v>23</v>
      </c>
      <c r="D60" s="334">
        <v>1036808.2221</v>
      </c>
      <c r="E60" s="334">
        <v>44</v>
      </c>
      <c r="F60" s="334">
        <v>800271.43637999997</v>
      </c>
    </row>
    <row r="61" spans="1:6">
      <c r="A61" s="348" t="s">
        <v>49</v>
      </c>
      <c r="B61" s="348" t="s">
        <v>54</v>
      </c>
      <c r="C61" s="334">
        <v>46</v>
      </c>
      <c r="D61" s="334">
        <v>1174835.4302000001</v>
      </c>
      <c r="E61" s="334">
        <v>204</v>
      </c>
      <c r="F61" s="334">
        <v>5701236.5283000004</v>
      </c>
    </row>
    <row r="62" spans="1:6">
      <c r="A62" s="348" t="s">
        <v>49</v>
      </c>
      <c r="B62" s="348" t="s">
        <v>55</v>
      </c>
      <c r="C62" s="334">
        <v>0</v>
      </c>
      <c r="D62" s="334">
        <v>0</v>
      </c>
      <c r="E62" s="334">
        <v>3</v>
      </c>
      <c r="F62" s="334">
        <v>22211.906806999999</v>
      </c>
    </row>
    <row r="63" spans="1:6">
      <c r="A63" s="348" t="s">
        <v>49</v>
      </c>
      <c r="B63" s="348" t="s">
        <v>29</v>
      </c>
      <c r="C63" s="334">
        <v>78</v>
      </c>
      <c r="D63" s="334">
        <v>9083570.8476</v>
      </c>
      <c r="E63" s="334">
        <v>95</v>
      </c>
      <c r="F63" s="334">
        <v>1520515.0101999999</v>
      </c>
    </row>
    <row r="64" spans="1:6">
      <c r="A64" s="348" t="s">
        <v>56</v>
      </c>
      <c r="B64" s="348" t="s">
        <v>57</v>
      </c>
      <c r="C64" s="334">
        <v>0</v>
      </c>
      <c r="D64" s="334">
        <v>0</v>
      </c>
      <c r="E64" s="334">
        <v>0</v>
      </c>
      <c r="F64" s="334">
        <v>0</v>
      </c>
    </row>
    <row r="65" spans="1:6">
      <c r="A65" s="348" t="s">
        <v>56</v>
      </c>
      <c r="B65" s="348" t="s">
        <v>29</v>
      </c>
      <c r="C65" s="334">
        <v>2</v>
      </c>
      <c r="D65" s="334">
        <v>50285.235504999997</v>
      </c>
      <c r="E65" s="334">
        <v>2</v>
      </c>
      <c r="F65" s="334">
        <v>10662.868925000001</v>
      </c>
    </row>
    <row r="66" spans="1:6">
      <c r="A66" s="348" t="s">
        <v>56</v>
      </c>
      <c r="B66" s="348" t="s">
        <v>58</v>
      </c>
      <c r="C66" s="334">
        <v>0</v>
      </c>
      <c r="D66" s="334">
        <v>0</v>
      </c>
      <c r="E66" s="334">
        <v>5</v>
      </c>
      <c r="F66" s="334">
        <v>207021.3542</v>
      </c>
    </row>
    <row r="67" spans="1:6">
      <c r="A67" s="355" t="s">
        <v>56</v>
      </c>
      <c r="B67" s="355" t="s">
        <v>59</v>
      </c>
      <c r="C67" s="334">
        <v>0</v>
      </c>
      <c r="D67" s="334">
        <v>0</v>
      </c>
      <c r="E67" s="334">
        <v>0</v>
      </c>
      <c r="F67" s="334">
        <v>0</v>
      </c>
    </row>
    <row r="68" spans="1:6">
      <c r="A68" s="341" t="s">
        <v>56</v>
      </c>
      <c r="B68" s="341" t="s">
        <v>60</v>
      </c>
      <c r="C68" s="334">
        <v>0</v>
      </c>
      <c r="D68" s="334">
        <v>0</v>
      </c>
      <c r="E68" s="334">
        <v>6</v>
      </c>
      <c r="F68" s="334">
        <v>83563.475143999996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25547490</v>
      </c>
      <c r="E73" s="476">
        <v>27168693.147626031</v>
      </c>
    </row>
    <row r="74" spans="1:6">
      <c r="A74" s="348" t="s">
        <v>64</v>
      </c>
      <c r="B74" s="348" t="s">
        <v>667</v>
      </c>
      <c r="C74" s="1212" t="s">
        <v>669</v>
      </c>
      <c r="D74" s="476">
        <v>2411470.1639371915</v>
      </c>
      <c r="E74" s="476">
        <v>2470917.8494675634</v>
      </c>
    </row>
    <row r="75" spans="1:6">
      <c r="A75" s="348" t="s">
        <v>65</v>
      </c>
      <c r="B75" s="348" t="s">
        <v>666</v>
      </c>
      <c r="C75" s="1212" t="s">
        <v>670</v>
      </c>
      <c r="D75" s="476">
        <v>36630649</v>
      </c>
      <c r="E75" s="476">
        <v>37459307.701985493</v>
      </c>
    </row>
    <row r="76" spans="1:6">
      <c r="A76" s="348" t="s">
        <v>65</v>
      </c>
      <c r="B76" s="348" t="s">
        <v>667</v>
      </c>
      <c r="C76" s="1212" t="s">
        <v>671</v>
      </c>
      <c r="D76" s="476">
        <v>2692300.1639371915</v>
      </c>
      <c r="E76" s="476">
        <v>2723193.6926225428</v>
      </c>
    </row>
    <row r="77" spans="1:6">
      <c r="A77" s="348" t="s">
        <v>66</v>
      </c>
      <c r="B77" s="348" t="s">
        <v>666</v>
      </c>
      <c r="C77" s="1212" t="s">
        <v>672</v>
      </c>
      <c r="D77" s="476">
        <v>186198848</v>
      </c>
      <c r="E77" s="476">
        <v>193064775.34342694</v>
      </c>
    </row>
    <row r="78" spans="1:6">
      <c r="A78" s="341" t="s">
        <v>66</v>
      </c>
      <c r="B78" s="341" t="s">
        <v>667</v>
      </c>
      <c r="C78" s="341" t="s">
        <v>673</v>
      </c>
      <c r="D78" s="1213">
        <v>31703566</v>
      </c>
      <c r="E78" s="1213">
        <v>32578738.177524697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94951.672125617464</v>
      </c>
      <c r="C83" s="476">
        <v>94951.672125617464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2629.3455372838566</v>
      </c>
    </row>
    <row r="92" spans="1:6">
      <c r="A92" s="341" t="s">
        <v>69</v>
      </c>
      <c r="B92" s="342">
        <v>932.54124850105393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4</v>
      </c>
    </row>
    <row r="131" spans="1:6">
      <c r="A131" s="348" t="s">
        <v>296</v>
      </c>
      <c r="B131" s="334">
        <v>3</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45436.117942191981</v>
      </c>
      <c r="C3" s="43" t="s">
        <v>170</v>
      </c>
      <c r="D3" s="43"/>
      <c r="E3" s="154"/>
      <c r="F3" s="43"/>
      <c r="G3" s="43"/>
      <c r="H3" s="43"/>
      <c r="I3" s="43"/>
      <c r="J3" s="43"/>
      <c r="K3" s="96"/>
    </row>
    <row r="4" spans="1:11">
      <c r="A4" s="383" t="s">
        <v>171</v>
      </c>
      <c r="B4" s="49">
        <f>IF(ISERROR('SEAP template'!B69),0,'SEAP template'!B69)</f>
        <v>25161.886785784911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5133.176470588237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0.21158897352070744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7333.1092436974805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30857.142857142855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1173.482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1173.482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0.21158897352070744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248.2958518250268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21400.672581120602</v>
      </c>
      <c r="C5" s="17">
        <f>IF(ISERROR('Eigen informatie GS &amp; warmtenet'!B57),0,'Eigen informatie GS &amp; warmtenet'!B57)</f>
        <v>0</v>
      </c>
      <c r="D5" s="30">
        <f>(SUM(HH_hh_gas_kWh,HH_rest_gas_kWh)/1000)*0.902</f>
        <v>28141.544700147999</v>
      </c>
      <c r="E5" s="17">
        <f>B46*B57</f>
        <v>8111.9975838375149</v>
      </c>
      <c r="F5" s="17">
        <f>B51*B62</f>
        <v>23765.245085164603</v>
      </c>
      <c r="G5" s="18"/>
      <c r="H5" s="17"/>
      <c r="I5" s="17"/>
      <c r="J5" s="17">
        <f>B50*B61+C50*C61</f>
        <v>1755.1246928562866</v>
      </c>
      <c r="K5" s="17"/>
      <c r="L5" s="17"/>
      <c r="M5" s="17"/>
      <c r="N5" s="17">
        <f>B48*B59+C48*C59</f>
        <v>15610.860206741745</v>
      </c>
      <c r="O5" s="17">
        <f>B69*B70*B71</f>
        <v>254.82333333333335</v>
      </c>
      <c r="P5" s="17">
        <f>B77*B78*B79/1000-B77*B78*B79/1000/B80</f>
        <v>762.66666666666674</v>
      </c>
    </row>
    <row r="6" spans="1:16">
      <c r="A6" s="16" t="s">
        <v>624</v>
      </c>
      <c r="B6" s="843">
        <f>kWh_PV_kleiner_dan_10kW</f>
        <v>2629.3455372838566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24030.01811840446</v>
      </c>
      <c r="C8" s="21">
        <f>C5</f>
        <v>0</v>
      </c>
      <c r="D8" s="21">
        <f>D5</f>
        <v>28141.544700147999</v>
      </c>
      <c r="E8" s="21">
        <f>E5</f>
        <v>8111.9975838375149</v>
      </c>
      <c r="F8" s="21">
        <f>F5</f>
        <v>23765.245085164603</v>
      </c>
      <c r="G8" s="21"/>
      <c r="H8" s="21"/>
      <c r="I8" s="21"/>
      <c r="J8" s="21">
        <f>J5</f>
        <v>1755.1246928562866</v>
      </c>
      <c r="K8" s="21"/>
      <c r="L8" s="21">
        <f>L5</f>
        <v>0</v>
      </c>
      <c r="M8" s="21">
        <f>M5</f>
        <v>0</v>
      </c>
      <c r="N8" s="21">
        <f>N5</f>
        <v>15610.860206741745</v>
      </c>
      <c r="O8" s="21">
        <f>O5</f>
        <v>254.82333333333335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0.21158897352070744</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5084.4868673572009</v>
      </c>
      <c r="C12" s="23">
        <f ca="1">C10*C8</f>
        <v>0</v>
      </c>
      <c r="D12" s="23">
        <f>D8*D10</f>
        <v>5684.5920294298958</v>
      </c>
      <c r="E12" s="23">
        <f>E10*E8</f>
        <v>1841.4234515311159</v>
      </c>
      <c r="F12" s="23">
        <f>F10*F8</f>
        <v>6345.3204377389493</v>
      </c>
      <c r="G12" s="23"/>
      <c r="H12" s="23"/>
      <c r="I12" s="23"/>
      <c r="J12" s="23">
        <f>J10*J8</f>
        <v>621.31414127112544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4864</v>
      </c>
      <c r="C28" s="36"/>
      <c r="D28" s="228"/>
    </row>
    <row r="29" spans="1:7" s="15" customFormat="1">
      <c r="A29" s="230" t="s">
        <v>699</v>
      </c>
      <c r="B29" s="37">
        <f>SUM(HH_hh_gas_aantal,HH_rest_gas_aantal)</f>
        <v>2131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2131</v>
      </c>
      <c r="C32" s="167">
        <f>IF(ISERROR(B32/SUM($B$32,$B$34,$B$35,$B$36,$B$38,$B$39)*100),0,B32/SUM($B$32,$B$34,$B$35,$B$36,$B$38,$B$39)*100)</f>
        <v>44.174958540630186</v>
      </c>
      <c r="D32" s="233"/>
      <c r="G32" s="15"/>
    </row>
    <row r="33" spans="1:7">
      <c r="A33" s="171" t="s">
        <v>72</v>
      </c>
      <c r="B33" s="34" t="s">
        <v>111</v>
      </c>
      <c r="C33" s="167"/>
      <c r="D33" s="233"/>
      <c r="G33" s="15"/>
    </row>
    <row r="34" spans="1:7">
      <c r="A34" s="171" t="s">
        <v>73</v>
      </c>
      <c r="B34" s="33">
        <f>IF((($B$28-$B$32-$B$39-$B$77-$B$38)*C20/100)&lt;0,0,($B$28-$B$32-$B$39-$B$77-$B$38)*C20/100)</f>
        <v>358.65407319952777</v>
      </c>
      <c r="C34" s="167">
        <f>IF(ISERROR(B34/SUM($B$32,$B$34,$B$35,$B$36,$B$38,$B$39)*100),0,B34/SUM($B$32,$B$34,$B$35,$B$36,$B$38,$B$39)*100)</f>
        <v>7.4347859286800944</v>
      </c>
      <c r="D34" s="233"/>
      <c r="G34" s="15"/>
    </row>
    <row r="35" spans="1:7">
      <c r="A35" s="171" t="s">
        <v>74</v>
      </c>
      <c r="B35" s="33">
        <f>IF((($B$28-$B$32-$B$39-$B$77-$B$38)*C21/100)&lt;0,0,($B$28-$B$32-$B$39-$B$77-$B$38)*C21/100)</f>
        <v>1058.323494687131</v>
      </c>
      <c r="C35" s="167">
        <f>IF(ISERROR(B35/SUM($B$32,$B$34,$B$35,$B$36,$B$38,$B$39)*100),0,B35/SUM($B$32,$B$34,$B$35,$B$36,$B$38,$B$39)*100)</f>
        <v>21.938712576433065</v>
      </c>
      <c r="D35" s="233"/>
      <c r="G35" s="15"/>
    </row>
    <row r="36" spans="1:7">
      <c r="A36" s="171" t="s">
        <v>75</v>
      </c>
      <c r="B36" s="33">
        <f>IF((($B$28-$B$32-$B$39-$B$77-$B$38)*C22/100)&lt;0,0,($B$28-$B$32-$B$39-$B$77-$B$38)*C22/100)</f>
        <v>243.02243211334115</v>
      </c>
      <c r="C36" s="167">
        <f>IF(ISERROR(B36/SUM($B$32,$B$34,$B$35,$B$36,$B$38,$B$39)*100),0,B36/SUM($B$32,$B$34,$B$35,$B$36,$B$38,$B$39)*100)</f>
        <v>5.0377784434772215</v>
      </c>
      <c r="D36" s="233"/>
      <c r="G36" s="15"/>
    </row>
    <row r="37" spans="1:7">
      <c r="A37" s="171" t="s">
        <v>76</v>
      </c>
      <c r="B37" s="34" t="s">
        <v>111</v>
      </c>
      <c r="C37" s="167"/>
      <c r="D37" s="173"/>
      <c r="G37" s="15"/>
    </row>
    <row r="38" spans="1:7">
      <c r="A38" s="171" t="s">
        <v>77</v>
      </c>
      <c r="B38" s="33">
        <f>IF((B24-(B29-B18)*0.1)&lt;0,0,B24-(B29-B18)*0.1)</f>
        <v>56.699999999999989</v>
      </c>
      <c r="C38" s="167">
        <f>IF(ISERROR(B38/SUM($B$32,$B$34,$B$35,$B$36,$B$38,$B$39)*100),0,B38/SUM($B$32,$B$34,$B$35,$B$36,$B$38,$B$39)*100)</f>
        <v>1.175373134328358</v>
      </c>
      <c r="D38" s="234"/>
      <c r="G38" s="15"/>
    </row>
    <row r="39" spans="1:7">
      <c r="A39" s="171" t="s">
        <v>78</v>
      </c>
      <c r="B39" s="33">
        <f>IF((B25-(B29-B18))&lt;0,0,B25-(B29-B18)*0.9)</f>
        <v>976.3</v>
      </c>
      <c r="C39" s="167">
        <f>IF(ISERROR(B39/SUM($B$32,$B$34,$B$35,$B$36,$B$38,$B$39)*100),0,B39/SUM($B$32,$B$34,$B$35,$B$36,$B$38,$B$39)*100)</f>
        <v>20.238391376451077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2131</v>
      </c>
      <c r="C44" s="34" t="s">
        <v>111</v>
      </c>
      <c r="D44" s="174"/>
    </row>
    <row r="45" spans="1:7">
      <c r="A45" s="171" t="s">
        <v>72</v>
      </c>
      <c r="B45" s="33" t="str">
        <f t="shared" si="0"/>
        <v>-</v>
      </c>
      <c r="C45" s="34" t="s">
        <v>111</v>
      </c>
      <c r="D45" s="174"/>
    </row>
    <row r="46" spans="1:7">
      <c r="A46" s="171" t="s">
        <v>73</v>
      </c>
      <c r="B46" s="33">
        <f t="shared" si="0"/>
        <v>358.65407319952777</v>
      </c>
      <c r="C46" s="34" t="s">
        <v>111</v>
      </c>
      <c r="D46" s="174"/>
    </row>
    <row r="47" spans="1:7">
      <c r="A47" s="171" t="s">
        <v>74</v>
      </c>
      <c r="B47" s="33">
        <f t="shared" si="0"/>
        <v>1058.323494687131</v>
      </c>
      <c r="C47" s="34" t="s">
        <v>111</v>
      </c>
      <c r="D47" s="174"/>
    </row>
    <row r="48" spans="1:7">
      <c r="A48" s="171" t="s">
        <v>75</v>
      </c>
      <c r="B48" s="33">
        <f t="shared" si="0"/>
        <v>243.02243211334115</v>
      </c>
      <c r="C48" s="33">
        <f>B48*10</f>
        <v>2430.2243211334116</v>
      </c>
      <c r="D48" s="234"/>
    </row>
    <row r="49" spans="1:6">
      <c r="A49" s="171" t="s">
        <v>76</v>
      </c>
      <c r="B49" s="33" t="str">
        <f t="shared" si="0"/>
        <v>-</v>
      </c>
      <c r="C49" s="34" t="s">
        <v>111</v>
      </c>
      <c r="D49" s="234"/>
    </row>
    <row r="50" spans="1:6">
      <c r="A50" s="171" t="s">
        <v>77</v>
      </c>
      <c r="B50" s="33">
        <f t="shared" si="0"/>
        <v>56.699999999999989</v>
      </c>
      <c r="C50" s="33">
        <f>B50*2</f>
        <v>113.39999999999998</v>
      </c>
      <c r="D50" s="234"/>
    </row>
    <row r="51" spans="1:6">
      <c r="A51" s="171" t="s">
        <v>78</v>
      </c>
      <c r="B51" s="33">
        <f t="shared" si="0"/>
        <v>976.3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13164.226100837001</v>
      </c>
      <c r="C5" s="17">
        <f>IF(ISERROR('Eigen informatie GS &amp; warmtenet'!B58),0,'Eigen informatie GS &amp; warmtenet'!B58)</f>
        <v>0</v>
      </c>
      <c r="D5" s="30">
        <f>SUM(D6:D12)</f>
        <v>13731.606896103582</v>
      </c>
      <c r="E5" s="17">
        <f>SUM(E6:E12)</f>
        <v>228.6409291335637</v>
      </c>
      <c r="F5" s="17">
        <f>SUM(F6:F12)</f>
        <v>3246.4425417425832</v>
      </c>
      <c r="G5" s="18"/>
      <c r="H5" s="17"/>
      <c r="I5" s="17"/>
      <c r="J5" s="17">
        <f>SUM(J6:J12)</f>
        <v>0</v>
      </c>
      <c r="K5" s="17"/>
      <c r="L5" s="17"/>
      <c r="M5" s="17"/>
      <c r="N5" s="17">
        <f>SUM(N6:N12)</f>
        <v>1292.5930874645164</v>
      </c>
      <c r="O5" s="17">
        <f>B38*B39*B40</f>
        <v>6.2533333333333339</v>
      </c>
      <c r="P5" s="17">
        <f>B46*B47*B48/1000-B46*B47*B48/1000/B49</f>
        <v>57.2</v>
      </c>
      <c r="R5" s="32"/>
    </row>
    <row r="6" spans="1:18">
      <c r="A6" s="32" t="s">
        <v>54</v>
      </c>
      <c r="B6" s="37">
        <f>B26</f>
        <v>5701.2365282999999</v>
      </c>
      <c r="C6" s="33"/>
      <c r="D6" s="37">
        <f>IF(ISERROR(TER_kantoor_gas_kWh/1000),0,TER_kantoor_gas_kWh/1000)*0.902</f>
        <v>1059.7015580404</v>
      </c>
      <c r="E6" s="33">
        <f>$C$26*'E Balans VL '!I12/100/3.6*1000000</f>
        <v>74.636209060500377</v>
      </c>
      <c r="F6" s="33">
        <f>$C$26*('E Balans VL '!L12+'E Balans VL '!N12)/100/3.6*1000000</f>
        <v>1453.7564003389575</v>
      </c>
      <c r="G6" s="34"/>
      <c r="H6" s="33"/>
      <c r="I6" s="33"/>
      <c r="J6" s="33">
        <f>$C$26*('E Balans VL '!D12+'E Balans VL '!E12)/100/3.6*1000000</f>
        <v>0</v>
      </c>
      <c r="K6" s="33"/>
      <c r="L6" s="33"/>
      <c r="M6" s="33"/>
      <c r="N6" s="33">
        <f>$C$26*'E Balans VL '!Y12/100/3.6*1000000</f>
        <v>5.7204351369348059</v>
      </c>
      <c r="O6" s="33"/>
      <c r="P6" s="33"/>
      <c r="R6" s="32"/>
    </row>
    <row r="7" spans="1:18">
      <c r="A7" s="32" t="s">
        <v>53</v>
      </c>
      <c r="B7" s="37">
        <f t="shared" ref="B7:B12" si="0">B27</f>
        <v>800.27143637999995</v>
      </c>
      <c r="C7" s="33"/>
      <c r="D7" s="37">
        <f>IF(ISERROR(TER_horeca_gas_kWh/1000),0,TER_horeca_gas_kWh/1000)*0.902</f>
        <v>935.20101633419995</v>
      </c>
      <c r="E7" s="33">
        <f>$C$27*'E Balans VL '!I9/100/3.6*1000000</f>
        <v>26.484116656328382</v>
      </c>
      <c r="F7" s="33">
        <f>$C$27*('E Balans VL '!L9+'E Balans VL '!N9)/100/3.6*1000000</f>
        <v>344.11365063175407</v>
      </c>
      <c r="G7" s="34"/>
      <c r="H7" s="33"/>
      <c r="I7" s="33"/>
      <c r="J7" s="33">
        <f>$C$27*('E Balans VL '!D9+'E Balans VL '!E9)/100/3.6*1000000</f>
        <v>0</v>
      </c>
      <c r="K7" s="33"/>
      <c r="L7" s="33"/>
      <c r="M7" s="33"/>
      <c r="N7" s="33">
        <f>$C$27*'E Balans VL '!Y9/100/3.6*1000000</f>
        <v>0.19263695595324476</v>
      </c>
      <c r="O7" s="33"/>
      <c r="P7" s="33"/>
      <c r="R7" s="32"/>
    </row>
    <row r="8" spans="1:18">
      <c r="A8" s="6" t="s">
        <v>52</v>
      </c>
      <c r="B8" s="37">
        <f t="shared" si="0"/>
        <v>3119.6305456</v>
      </c>
      <c r="C8" s="33"/>
      <c r="D8" s="37">
        <f>IF(ISERROR(TER_handel_gas_kWh/1000),0,TER_handel_gas_kWh/1000)*0.902</f>
        <v>595.18573467518002</v>
      </c>
      <c r="E8" s="33">
        <f>$C$28*'E Balans VL '!I13/100/3.6*1000000</f>
        <v>98.46030667272268</v>
      </c>
      <c r="F8" s="33">
        <f>$C$28*('E Balans VL '!L13+'E Balans VL '!N13)/100/3.6*1000000</f>
        <v>611.81448327550743</v>
      </c>
      <c r="G8" s="34"/>
      <c r="H8" s="33"/>
      <c r="I8" s="33"/>
      <c r="J8" s="33">
        <f>$C$28*('E Balans VL '!D13+'E Balans VL '!E13)/100/3.6*1000000</f>
        <v>0</v>
      </c>
      <c r="K8" s="33"/>
      <c r="L8" s="33"/>
      <c r="M8" s="33"/>
      <c r="N8" s="33">
        <f>$C$28*'E Balans VL '!Y13/100/3.6*1000000</f>
        <v>3.702395788792245</v>
      </c>
      <c r="O8" s="33"/>
      <c r="P8" s="33"/>
      <c r="R8" s="32"/>
    </row>
    <row r="9" spans="1:18">
      <c r="A9" s="32" t="s">
        <v>51</v>
      </c>
      <c r="B9" s="37">
        <f t="shared" si="0"/>
        <v>550.87439065000001</v>
      </c>
      <c r="C9" s="33"/>
      <c r="D9" s="37">
        <f>IF(ISERROR(TER_gezond_gas_kWh/1000),0,TER_gezond_gas_kWh/1000)*0.902</f>
        <v>1374.6120619747999</v>
      </c>
      <c r="E9" s="33">
        <f>$C$29*'E Balans VL '!I10/100/3.6*1000000</f>
        <v>7.0528037475926342E-2</v>
      </c>
      <c r="F9" s="33">
        <f>$C$29*('E Balans VL '!L10+'E Balans VL '!N10)/100/3.6*1000000</f>
        <v>114.77022483408518</v>
      </c>
      <c r="G9" s="34"/>
      <c r="H9" s="33"/>
      <c r="I9" s="33"/>
      <c r="J9" s="33">
        <f>$C$29*('E Balans VL '!D10+'E Balans VL '!E10)/100/3.6*1000000</f>
        <v>0</v>
      </c>
      <c r="K9" s="33"/>
      <c r="L9" s="33"/>
      <c r="M9" s="33"/>
      <c r="N9" s="33">
        <f>$C$29*'E Balans VL '!Y10/100/3.6*1000000</f>
        <v>6.4702800956520106</v>
      </c>
      <c r="O9" s="33"/>
      <c r="P9" s="33"/>
      <c r="R9" s="32"/>
    </row>
    <row r="10" spans="1:18">
      <c r="A10" s="32" t="s">
        <v>50</v>
      </c>
      <c r="B10" s="37">
        <f t="shared" si="0"/>
        <v>1449.4862828999999</v>
      </c>
      <c r="C10" s="33"/>
      <c r="D10" s="37">
        <f>IF(ISERROR(TER_ander_gas_kWh/1000),0,TER_ander_gas_kWh/1000)*0.902</f>
        <v>1573.5256205438</v>
      </c>
      <c r="E10" s="33">
        <f>$C$30*'E Balans VL '!I14/100/3.6*1000000</f>
        <v>2.1796865001876986</v>
      </c>
      <c r="F10" s="33">
        <f>$C$30*('E Balans VL '!L14+'E Balans VL '!N14)/100/3.6*1000000</f>
        <v>319.99984765815168</v>
      </c>
      <c r="G10" s="34"/>
      <c r="H10" s="33"/>
      <c r="I10" s="33"/>
      <c r="J10" s="33">
        <f>$C$30*('E Balans VL '!D14+'E Balans VL '!E14)/100/3.6*1000000</f>
        <v>0</v>
      </c>
      <c r="K10" s="33"/>
      <c r="L10" s="33"/>
      <c r="M10" s="33"/>
      <c r="N10" s="33">
        <f>$C$30*'E Balans VL '!Y14/100/3.6*1000000</f>
        <v>1142.2927376741604</v>
      </c>
      <c r="O10" s="33"/>
      <c r="P10" s="33"/>
      <c r="R10" s="32"/>
    </row>
    <row r="11" spans="1:18">
      <c r="A11" s="32" t="s">
        <v>55</v>
      </c>
      <c r="B11" s="37">
        <f t="shared" si="0"/>
        <v>22.211906806999998</v>
      </c>
      <c r="C11" s="33"/>
      <c r="D11" s="37">
        <f>IF(ISERROR(TER_onderwijs_gas_kWh/1000),0,TER_onderwijs_gas_kWh/1000)*0.902</f>
        <v>0</v>
      </c>
      <c r="E11" s="33">
        <f>$C$31*'E Balans VL '!I11/100/3.6*1000000</f>
        <v>3.9117029238483411E-2</v>
      </c>
      <c r="F11" s="33">
        <f>$C$31*('E Balans VL '!L11+'E Balans VL '!N11)/100/3.6*1000000</f>
        <v>10.255639296580821</v>
      </c>
      <c r="G11" s="34"/>
      <c r="H11" s="33"/>
      <c r="I11" s="33"/>
      <c r="J11" s="33">
        <f>$C$31*('E Balans VL '!D11+'E Balans VL '!E11)/100/3.6*1000000</f>
        <v>0</v>
      </c>
      <c r="K11" s="33"/>
      <c r="L11" s="33"/>
      <c r="M11" s="33"/>
      <c r="N11" s="33">
        <f>$C$31*'E Balans VL '!Y11/100/3.6*1000000</f>
        <v>4.1381089544984984E-2</v>
      </c>
      <c r="O11" s="33"/>
      <c r="P11" s="33"/>
      <c r="R11" s="32"/>
    </row>
    <row r="12" spans="1:18">
      <c r="A12" s="32" t="s">
        <v>260</v>
      </c>
      <c r="B12" s="37">
        <f t="shared" si="0"/>
        <v>1520.5150102</v>
      </c>
      <c r="C12" s="33"/>
      <c r="D12" s="37">
        <f>IF(ISERROR(TER_rest_gas_kWh/1000),0,TER_rest_gas_kWh/1000)*0.902</f>
        <v>8193.3809045352009</v>
      </c>
      <c r="E12" s="33">
        <f>$C$32*'E Balans VL '!I8/100/3.6*1000000</f>
        <v>26.770965177110117</v>
      </c>
      <c r="F12" s="33">
        <f>$C$32*('E Balans VL '!L8+'E Balans VL '!N8)/100/3.6*1000000</f>
        <v>391.7322957075462</v>
      </c>
      <c r="G12" s="34"/>
      <c r="H12" s="33"/>
      <c r="I12" s="33"/>
      <c r="J12" s="33">
        <f>$C$32*('E Balans VL '!D8+'E Balans VL '!E8)/100/3.6*1000000</f>
        <v>0</v>
      </c>
      <c r="K12" s="33"/>
      <c r="L12" s="33"/>
      <c r="M12" s="33"/>
      <c r="N12" s="33">
        <f>$C$32*'E Balans VL '!Y8/100/3.6*1000000</f>
        <v>134.17322072347861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13164.226100837001</v>
      </c>
      <c r="C16" s="21">
        <f t="shared" ca="1" si="1"/>
        <v>0</v>
      </c>
      <c r="D16" s="21">
        <f t="shared" ca="1" si="1"/>
        <v>13731.606896103582</v>
      </c>
      <c r="E16" s="21">
        <f t="shared" si="1"/>
        <v>228.6409291335637</v>
      </c>
      <c r="F16" s="21">
        <f t="shared" ca="1" si="1"/>
        <v>3246.4425417425832</v>
      </c>
      <c r="G16" s="21">
        <f t="shared" si="1"/>
        <v>0</v>
      </c>
      <c r="H16" s="21">
        <f t="shared" si="1"/>
        <v>0</v>
      </c>
      <c r="I16" s="21">
        <f t="shared" si="1"/>
        <v>0</v>
      </c>
      <c r="J16" s="21">
        <f t="shared" si="1"/>
        <v>0</v>
      </c>
      <c r="K16" s="21">
        <f t="shared" si="1"/>
        <v>0</v>
      </c>
      <c r="L16" s="21">
        <f t="shared" ca="1" si="1"/>
        <v>0</v>
      </c>
      <c r="M16" s="21">
        <f t="shared" si="1"/>
        <v>0</v>
      </c>
      <c r="N16" s="21">
        <f t="shared" ca="1" si="1"/>
        <v>1292.5930874645164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0.21158897352070744</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2785.4050878706057</v>
      </c>
      <c r="C20" s="23">
        <f t="shared" ref="C20:P20" ca="1" si="2">C16*C18</f>
        <v>0</v>
      </c>
      <c r="D20" s="23">
        <f t="shared" ca="1" si="2"/>
        <v>2773.7845930129238</v>
      </c>
      <c r="E20" s="23">
        <f t="shared" si="2"/>
        <v>51.901490913318959</v>
      </c>
      <c r="F20" s="23">
        <f t="shared" ca="1" si="2"/>
        <v>866.80015864526979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5701.2365282999999</v>
      </c>
      <c r="C26" s="39">
        <f>IF(ISERROR(B26*3.6/1000000/'E Balans VL '!Z12*100),0,B26*3.6/1000000/'E Balans VL '!Z12*100)</f>
        <v>0.12212491555437707</v>
      </c>
      <c r="D26" s="237" t="s">
        <v>660</v>
      </c>
      <c r="F26" s="6"/>
    </row>
    <row r="27" spans="1:18">
      <c r="A27" s="231" t="s">
        <v>53</v>
      </c>
      <c r="B27" s="33">
        <f>IF(ISERROR(TER_horeca_ele_kWh/1000),0,TER_horeca_ele_kWh/1000)</f>
        <v>800.27143637999995</v>
      </c>
      <c r="C27" s="39">
        <f>IF(ISERROR(B27*3.6/1000000/'E Balans VL '!Z9*100),0,B27*3.6/1000000/'E Balans VL '!Z9*100)</f>
        <v>6.4219001054375571E-2</v>
      </c>
      <c r="D27" s="237" t="s">
        <v>660</v>
      </c>
      <c r="F27" s="6"/>
    </row>
    <row r="28" spans="1:18">
      <c r="A28" s="171" t="s">
        <v>52</v>
      </c>
      <c r="B28" s="33">
        <f>IF(ISERROR(TER_handel_ele_kWh/1000),0,TER_handel_ele_kWh/1000)</f>
        <v>3119.6305456</v>
      </c>
      <c r="C28" s="39">
        <f>IF(ISERROR(B28*3.6/1000000/'E Balans VL '!Z13*100),0,B28*3.6/1000000/'E Balans VL '!Z13*100)</f>
        <v>9.2011207608103662E-2</v>
      </c>
      <c r="D28" s="237" t="s">
        <v>660</v>
      </c>
      <c r="F28" s="6"/>
    </row>
    <row r="29" spans="1:18">
      <c r="A29" s="231" t="s">
        <v>51</v>
      </c>
      <c r="B29" s="33">
        <f>IF(ISERROR(TER_gezond_ele_kWh/1000),0,TER_gezond_ele_kWh/1000)</f>
        <v>550.87439065000001</v>
      </c>
      <c r="C29" s="39">
        <f>IF(ISERROR(B29*3.6/1000000/'E Balans VL '!Z10*100),0,B29*3.6/1000000/'E Balans VL '!Z10*100)</f>
        <v>5.8818615425155131E-2</v>
      </c>
      <c r="D29" s="237" t="s">
        <v>660</v>
      </c>
      <c r="F29" s="6"/>
    </row>
    <row r="30" spans="1:18">
      <c r="A30" s="231" t="s">
        <v>50</v>
      </c>
      <c r="B30" s="33">
        <f>IF(ISERROR(TER_ander_ele_kWh/1000),0,TER_ander_ele_kWh/1000)</f>
        <v>1449.4862828999999</v>
      </c>
      <c r="C30" s="39">
        <f>IF(ISERROR(B30*3.6/1000000/'E Balans VL '!Z14*100),0,B30*3.6/1000000/'E Balans VL '!Z14*100)</f>
        <v>0.1094853908504775</v>
      </c>
      <c r="D30" s="237" t="s">
        <v>660</v>
      </c>
      <c r="F30" s="6"/>
    </row>
    <row r="31" spans="1:18">
      <c r="A31" s="231" t="s">
        <v>55</v>
      </c>
      <c r="B31" s="33">
        <f>IF(ISERROR(TER_onderwijs_ele_kWh/1000),0,TER_onderwijs_ele_kWh/1000)</f>
        <v>22.211906806999998</v>
      </c>
      <c r="C31" s="39">
        <f>IF(ISERROR(B31*3.6/1000000/'E Balans VL '!Z11*100),0,B31*3.6/1000000/'E Balans VL '!Z11*100)</f>
        <v>4.4853254750658001E-3</v>
      </c>
      <c r="D31" s="237" t="s">
        <v>660</v>
      </c>
    </row>
    <row r="32" spans="1:18">
      <c r="A32" s="231" t="s">
        <v>260</v>
      </c>
      <c r="B32" s="33">
        <f>IF(ISERROR(TER_rest_ele_kWh/1000),0,TER_rest_ele_kWh/1000)</f>
        <v>1520.5150102</v>
      </c>
      <c r="C32" s="39">
        <f>IF(ISERROR(B32*3.6/1000000/'E Balans VL '!Z8*100),0,B32*3.6/1000000/'E Balans VL '!Z8*100)</f>
        <v>1.2607186736435235E-2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2489.7794269440001</v>
      </c>
      <c r="C5" s="17">
        <f>IF(ISERROR('Eigen informatie GS &amp; warmtenet'!B59),0,'Eigen informatie GS &amp; warmtenet'!B59)</f>
        <v>0</v>
      </c>
      <c r="D5" s="30">
        <f>SUM(D6:D15)</f>
        <v>2123.0293640432142</v>
      </c>
      <c r="E5" s="17">
        <f>SUM(E6:E15)</f>
        <v>292.3716479495655</v>
      </c>
      <c r="F5" s="17">
        <f>SUM(F6:F15)</f>
        <v>1169.9182942928383</v>
      </c>
      <c r="G5" s="18"/>
      <c r="H5" s="17"/>
      <c r="I5" s="17"/>
      <c r="J5" s="17">
        <f>SUM(J6:J15)</f>
        <v>7.5660569167806351</v>
      </c>
      <c r="K5" s="17"/>
      <c r="L5" s="17"/>
      <c r="M5" s="17"/>
      <c r="N5" s="17">
        <f>SUM(N6:N15)</f>
        <v>794.3208726388084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160.34613517</v>
      </c>
      <c r="C8" s="33"/>
      <c r="D8" s="37">
        <f>IF( ISERROR(IND_metaal_Gas_kWH/1000),0,IND_metaal_Gas_kWH/1000)*0.902</f>
        <v>0</v>
      </c>
      <c r="E8" s="33">
        <f>C30*'E Balans VL '!I18/100/3.6*1000000</f>
        <v>5.7697390233580919</v>
      </c>
      <c r="F8" s="33">
        <f>C30*'E Balans VL '!L18/100/3.6*1000000+C30*'E Balans VL '!N18/100/3.6*1000000</f>
        <v>70.017959366274141</v>
      </c>
      <c r="G8" s="34"/>
      <c r="H8" s="33"/>
      <c r="I8" s="33"/>
      <c r="J8" s="40">
        <f>C30*'E Balans VL '!D18/100/3.6*1000000+C30*'E Balans VL '!E18/100/3.6*1000000</f>
        <v>0</v>
      </c>
      <c r="K8" s="33"/>
      <c r="L8" s="33"/>
      <c r="M8" s="33"/>
      <c r="N8" s="33">
        <f>C30*'E Balans VL '!Y18/100/3.6*1000000</f>
        <v>8.0364393279754793</v>
      </c>
      <c r="O8" s="33"/>
      <c r="P8" s="33"/>
      <c r="R8" s="32"/>
    </row>
    <row r="9" spans="1:18">
      <c r="A9" s="6" t="s">
        <v>33</v>
      </c>
      <c r="B9" s="37">
        <f t="shared" si="0"/>
        <v>924.37183047999997</v>
      </c>
      <c r="C9" s="33"/>
      <c r="D9" s="37">
        <f>IF( ISERROR(IND_andere_gas_kWh/1000),0,IND_andere_gas_kWh/1000)*0.902</f>
        <v>434.05965941822001</v>
      </c>
      <c r="E9" s="33">
        <f>C31*'E Balans VL '!I19/100/3.6*1000000</f>
        <v>235.87877664003804</v>
      </c>
      <c r="F9" s="33">
        <f>C31*'E Balans VL '!L19/100/3.6*1000000+C31*'E Balans VL '!N19/100/3.6*1000000</f>
        <v>795.81466755540964</v>
      </c>
      <c r="G9" s="34"/>
      <c r="H9" s="33"/>
      <c r="I9" s="33"/>
      <c r="J9" s="40">
        <f>C31*'E Balans VL '!D19/100/3.6*1000000+C31*'E Balans VL '!E19/100/3.6*1000000</f>
        <v>0</v>
      </c>
      <c r="K9" s="33"/>
      <c r="L9" s="33"/>
      <c r="M9" s="33"/>
      <c r="N9" s="33">
        <f>C31*'E Balans VL '!Y19/100/3.6*1000000</f>
        <v>289.08272782013114</v>
      </c>
      <c r="O9" s="33"/>
      <c r="P9" s="33"/>
      <c r="R9" s="32"/>
    </row>
    <row r="10" spans="1:18">
      <c r="A10" s="6" t="s">
        <v>41</v>
      </c>
      <c r="B10" s="37">
        <f t="shared" si="0"/>
        <v>805.37254695000001</v>
      </c>
      <c r="C10" s="33"/>
      <c r="D10" s="37">
        <f>IF( ISERROR(IND_voed_gas_kWh/1000),0,IND_voed_gas_kWh/1000)*0.902</f>
        <v>371.06331367908001</v>
      </c>
      <c r="E10" s="33">
        <f>C32*'E Balans VL '!I20/100/3.6*1000000</f>
        <v>20.473676010599899</v>
      </c>
      <c r="F10" s="33">
        <f>C32*'E Balans VL '!L20/100/3.6*1000000+C32*'E Balans VL '!N20/100/3.6*1000000</f>
        <v>182.2437176902402</v>
      </c>
      <c r="G10" s="34"/>
      <c r="H10" s="33"/>
      <c r="I10" s="33"/>
      <c r="J10" s="40">
        <f>C32*'E Balans VL '!D20/100/3.6*1000000+C32*'E Balans VL '!E20/100/3.6*1000000</f>
        <v>0</v>
      </c>
      <c r="K10" s="33"/>
      <c r="L10" s="33"/>
      <c r="M10" s="33"/>
      <c r="N10" s="33">
        <f>C32*'E Balans VL '!Y20/100/3.6*1000000</f>
        <v>302.03653558780775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45.962425404000001</v>
      </c>
      <c r="C13" s="33"/>
      <c r="D13" s="37">
        <f>IF( ISERROR(IND_papier_gas_kWh/1000),0,IND_papier_gas_kWh/1000)*0.902</f>
        <v>25.857410129914001</v>
      </c>
      <c r="E13" s="33">
        <f>C35*'E Balans VL '!I23/100/3.6*1000000</f>
        <v>0.19711947127082999</v>
      </c>
      <c r="F13" s="33">
        <f>C35*'E Balans VL '!L23/100/3.6*1000000+C35*'E Balans VL '!N23/100/3.6*1000000</f>
        <v>1.1551784086893417</v>
      </c>
      <c r="G13" s="34"/>
      <c r="H13" s="33"/>
      <c r="I13" s="33"/>
      <c r="J13" s="40">
        <f>C35*'E Balans VL '!D23/100/3.6*1000000+C35*'E Balans VL '!E23/100/3.6*1000000</f>
        <v>3.0769322872645692</v>
      </c>
      <c r="K13" s="33"/>
      <c r="L13" s="33"/>
      <c r="M13" s="33"/>
      <c r="N13" s="33">
        <f>C35*'E Balans VL '!Y23/100/3.6*1000000</f>
        <v>83.662544517057214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553.72648893999997</v>
      </c>
      <c r="C15" s="33"/>
      <c r="D15" s="37">
        <f>IF( ISERROR(IND_rest_gas_kWh/1000),0,IND_rest_gas_kWh/1000)*0.902</f>
        <v>1292.048980816</v>
      </c>
      <c r="E15" s="33">
        <f>C37*'E Balans VL '!I15/100/3.6*1000000</f>
        <v>30.052336804298658</v>
      </c>
      <c r="F15" s="33">
        <f>C37*'E Balans VL '!L15/100/3.6*1000000+C37*'E Balans VL '!N15/100/3.6*1000000</f>
        <v>120.68677127222493</v>
      </c>
      <c r="G15" s="34"/>
      <c r="H15" s="33"/>
      <c r="I15" s="33"/>
      <c r="J15" s="40">
        <f>C37*'E Balans VL '!D15/100/3.6*1000000+C37*'E Balans VL '!E15/100/3.6*1000000</f>
        <v>4.4891246295160663</v>
      </c>
      <c r="K15" s="33"/>
      <c r="L15" s="33"/>
      <c r="M15" s="33"/>
      <c r="N15" s="33">
        <f>C37*'E Balans VL '!Y15/100/3.6*1000000</f>
        <v>111.50262538583688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2489.7794269440001</v>
      </c>
      <c r="C18" s="21">
        <f>C5+C16</f>
        <v>0</v>
      </c>
      <c r="D18" s="21">
        <f>MAX((D5+D16),0)</f>
        <v>2123.0293640432142</v>
      </c>
      <c r="E18" s="21">
        <f>MAX((E5+E16),0)</f>
        <v>292.3716479495655</v>
      </c>
      <c r="F18" s="21">
        <f>MAX((F5+F16),0)</f>
        <v>1169.9182942928383</v>
      </c>
      <c r="G18" s="21"/>
      <c r="H18" s="21"/>
      <c r="I18" s="21"/>
      <c r="J18" s="21">
        <f>MAX((J5+J16),0)</f>
        <v>7.5660569167806351</v>
      </c>
      <c r="K18" s="21"/>
      <c r="L18" s="21">
        <f>MAX((L5+L16),0)</f>
        <v>0</v>
      </c>
      <c r="M18" s="21"/>
      <c r="N18" s="21">
        <f>MAX((N5+N16),0)</f>
        <v>794.3208726388084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0.21158897352070744</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526.80987324005616</v>
      </c>
      <c r="C22" s="23">
        <f ca="1">C18*C20</f>
        <v>0</v>
      </c>
      <c r="D22" s="23">
        <f>D18*D20</f>
        <v>428.8519315367293</v>
      </c>
      <c r="E22" s="23">
        <f>E18*E20</f>
        <v>66.368364084551374</v>
      </c>
      <c r="F22" s="23">
        <f>F18*F20</f>
        <v>312.36818457618784</v>
      </c>
      <c r="G22" s="23"/>
      <c r="H22" s="23"/>
      <c r="I22" s="23"/>
      <c r="J22" s="23">
        <f>J18*J20</f>
        <v>2.6783841485403448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160.34613517</v>
      </c>
      <c r="C30" s="39">
        <f>IF(ISERROR(B30*3.6/1000000/'E Balans VL '!Z18*100),0,B30*3.6/1000000/'E Balans VL '!Z18*100)</f>
        <v>3.397390831198821E-2</v>
      </c>
      <c r="D30" s="237" t="s">
        <v>660</v>
      </c>
    </row>
    <row r="31" spans="1:18">
      <c r="A31" s="6" t="s">
        <v>33</v>
      </c>
      <c r="B31" s="37">
        <f>IF( ISERROR(IND_ander_ele_kWh/1000),0,IND_ander_ele_kWh/1000)</f>
        <v>924.37183047999997</v>
      </c>
      <c r="C31" s="39">
        <f>IF(ISERROR(B31*3.6/1000000/'E Balans VL '!Z19*100),0,B31*3.6/1000000/'E Balans VL '!Z19*100)</f>
        <v>3.8908909283791558E-2</v>
      </c>
      <c r="D31" s="237" t="s">
        <v>660</v>
      </c>
    </row>
    <row r="32" spans="1:18">
      <c r="A32" s="171" t="s">
        <v>41</v>
      </c>
      <c r="B32" s="37">
        <f>IF( ISERROR(IND_voed_ele_kWh/1000),0,IND_voed_ele_kWh/1000)</f>
        <v>805.37254695000001</v>
      </c>
      <c r="C32" s="39">
        <f>IF(ISERROR(B32*3.6/1000000/'E Balans VL '!Z20*100),0,B32*3.6/1000000/'E Balans VL '!Z20*100)</f>
        <v>0.13454659613166192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45.962425404000001</v>
      </c>
      <c r="C35" s="39">
        <f>IF(ISERROR(B35*3.6/1000000/'E Balans VL '!Z22*100),0,B35*3.6/1000000/'E Balans VL '!Z22*100)</f>
        <v>5.8259852945851164E-3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553.72648893999997</v>
      </c>
      <c r="C37" s="39">
        <f>IF(ISERROR(B37*3.6/1000000/'E Balans VL '!Z15*100),0,B37*3.6/1000000/'E Balans VL '!Z15*100)</f>
        <v>4.4704483579364757E-3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4520.4088144750003</v>
      </c>
      <c r="C5" s="17">
        <f>'Eigen informatie GS &amp; warmtenet'!B60</f>
        <v>0</v>
      </c>
      <c r="D5" s="30">
        <f>IF(ISERROR(SUM(LB_lb_gas_kWh,LB_rest_gas_kWh,onbekend_gas_kWh)/1000),0,SUM(LB_lb_gas_kWh,LB_rest_gas_kWh,onbekend_gas_kWh)/1000)*0.902</f>
        <v>76456.365333527516</v>
      </c>
      <c r="E5" s="17">
        <f>B17*'E Balans VL '!I25/3.6*1000000/100</f>
        <v>116.56398696211437</v>
      </c>
      <c r="F5" s="17">
        <f>B17*('E Balans VL '!L25/3.6*1000000+'E Balans VL '!N25/3.6*1000000)/100</f>
        <v>16522.955086946236</v>
      </c>
      <c r="G5" s="18"/>
      <c r="H5" s="17"/>
      <c r="I5" s="17"/>
      <c r="J5" s="17">
        <f>('E Balans VL '!D25+'E Balans VL '!E25)/3.6*1000000*landbouw!B17/100</f>
        <v>650.77257855550715</v>
      </c>
      <c r="K5" s="17"/>
      <c r="L5" s="17">
        <f>L6*(-1)</f>
        <v>0</v>
      </c>
      <c r="M5" s="17"/>
      <c r="N5" s="17">
        <f>N6*(-1)</f>
        <v>0</v>
      </c>
      <c r="O5" s="17"/>
      <c r="P5" s="17"/>
      <c r="R5" s="32"/>
    </row>
    <row r="6" spans="1:18">
      <c r="A6" s="16" t="s">
        <v>491</v>
      </c>
      <c r="B6" s="17" t="s">
        <v>211</v>
      </c>
      <c r="C6" s="17">
        <f>'lokale energieproductie'!O91+'lokale energieproductie'!O60</f>
        <v>30857.142857142855</v>
      </c>
      <c r="D6" s="310">
        <f>('lokale energieproductie'!P60+'lokale energieproductie'!P91)*(-1)</f>
        <v>-61714.285714285725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4520.4088144750003</v>
      </c>
      <c r="C8" s="21">
        <f>C5+C6</f>
        <v>30857.142857142855</v>
      </c>
      <c r="D8" s="21">
        <f>MAX((D5+D6),0)</f>
        <v>14742.079619241791</v>
      </c>
      <c r="E8" s="21">
        <f>MAX((E5+E6),0)</f>
        <v>116.56398696211437</v>
      </c>
      <c r="F8" s="21">
        <f>MAX((F5+F6),0)</f>
        <v>16522.955086946236</v>
      </c>
      <c r="G8" s="21"/>
      <c r="H8" s="21"/>
      <c r="I8" s="21"/>
      <c r="J8" s="21">
        <f>MAX((J5+J6),0)</f>
        <v>650.77257855550715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0.21158897352070744</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956.46866094872337</v>
      </c>
      <c r="C12" s="23">
        <f ca="1">C8*C10</f>
        <v>7333.1092436974805</v>
      </c>
      <c r="D12" s="23">
        <f>D8*D10</f>
        <v>2977.9000830868422</v>
      </c>
      <c r="E12" s="23">
        <f>E8*E10</f>
        <v>26.460025040399962</v>
      </c>
      <c r="F12" s="23">
        <f>F8*F10</f>
        <v>4411.6290082146452</v>
      </c>
      <c r="G12" s="23"/>
      <c r="H12" s="23"/>
      <c r="I12" s="23"/>
      <c r="J12" s="23">
        <f>J8*J10</f>
        <v>230.37349280864953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0.63740758535756481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635.85884669610141</v>
      </c>
      <c r="C26" s="247">
        <f>B26*'GWP N2O_CH4'!B5</f>
        <v>13353.035780618129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315.77099435152246</v>
      </c>
      <c r="C27" s="247">
        <f>B27*'GWP N2O_CH4'!B5</f>
        <v>6631.1908813819718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9.019216880601423</v>
      </c>
      <c r="C28" s="247">
        <f>B28*'GWP N2O_CH4'!B4</f>
        <v>2795.9572329864413</v>
      </c>
      <c r="D28" s="50"/>
    </row>
    <row r="29" spans="1:4">
      <c r="A29" s="41" t="s">
        <v>277</v>
      </c>
      <c r="B29" s="247">
        <f>B34*'ha_N2O bodem landbouw'!B4</f>
        <v>22.787635863333811</v>
      </c>
      <c r="C29" s="247">
        <f>B29*'GWP N2O_CH4'!B4</f>
        <v>7064.1671176334812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5.1284563854047888E-3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2.0953253351347354E-4</v>
      </c>
      <c r="C5" s="463" t="s">
        <v>211</v>
      </c>
      <c r="D5" s="448">
        <f>SUM(D6:D11)</f>
        <v>4.782841989006982E-4</v>
      </c>
      <c r="E5" s="448">
        <f>SUM(E6:E11)</f>
        <v>2.1664590079404356E-3</v>
      </c>
      <c r="F5" s="461" t="s">
        <v>211</v>
      </c>
      <c r="G5" s="448">
        <f>SUM(G6:G11)</f>
        <v>0.81540319447667253</v>
      </c>
      <c r="H5" s="448">
        <f>SUM(H6:H11)</f>
        <v>0.13241481462101798</v>
      </c>
      <c r="I5" s="463" t="s">
        <v>211</v>
      </c>
      <c r="J5" s="463" t="s">
        <v>211</v>
      </c>
      <c r="K5" s="463" t="s">
        <v>211</v>
      </c>
      <c r="L5" s="463" t="s">
        <v>211</v>
      </c>
      <c r="M5" s="448">
        <f>SUM(M6:M11)</f>
        <v>2.9655753936208118E-2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2.1552038170952323E-5</v>
      </c>
      <c r="C6" s="449"/>
      <c r="D6" s="962">
        <f>vkm_2011_GW_PW*SUMIFS(TableVerdeelsleutelVkm[CNG],TableVerdeelsleutelVkm[Voertuigtype],"Lichte voertuigen")*SUMIFS(TableECFTransport[EnergieConsumptieFactor (PJ per km)],TableECFTransport[Index],CONCATENATE($A6,"_CNG_CNG"))</f>
        <v>4.2824277362701608E-5</v>
      </c>
      <c r="E6" s="962">
        <f>vkm_2011_GW_PW*SUMIFS(TableVerdeelsleutelVkm[LPG],TableVerdeelsleutelVkm[Voertuigtype],"Lichte voertuigen")*SUMIFS(TableECFTransport[EnergieConsumptieFactor (PJ per km)],TableECFTransport[Index],CONCATENATE($A6,"_LPG_LPG"))</f>
        <v>1.6852888277485935E-4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4.0070385760702487E-2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1.1593820221985301E-2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1.6099043658458917E-3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2.3107183821395896E-2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7.4646073631868624E-6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7.2807200646327031E-4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3.090186728617006E-5</v>
      </c>
      <c r="C8" s="449"/>
      <c r="D8" s="451">
        <f>vkm_2011_NGW_PW*SUMIFS(TableVerdeelsleutelVkm[CNG],TableVerdeelsleutelVkm[Voertuigtype],"Lichte voertuigen")*SUMIFS(TableECFTransport[EnergieConsumptieFactor (PJ per km)],TableECFTransport[Index],CONCATENATE($A8,"_CNG_CNG"))</f>
        <v>1.0872151981255216E-4</v>
      </c>
      <c r="E8" s="451">
        <f>vkm_2011_NGW_PW*SUMIFS(TableVerdeelsleutelVkm[LPG],TableVerdeelsleutelVkm[Voertuigtype],"Lichte voertuigen")*SUMIFS(TableECFTransport[EnergieConsumptieFactor (PJ per km)],TableECFTransport[Index],CONCATENATE($A8,"_LPG_LPG"))</f>
        <v>3.9569320517443139E-4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8.7855014889697033E-2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2.8540990996005957E-2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3.6233622443303882E-3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3.2928830809730872E-2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1.0060037019398337E-5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1.0375197576549227E-3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1.5707862805635115E-4</v>
      </c>
      <c r="C10" s="449"/>
      <c r="D10" s="451">
        <f>vkm_2011_SW_PW*SUMIFS(TableVerdeelsleutelVkm[CNG],TableVerdeelsleutelVkm[Voertuigtype],"Lichte voertuigen")*SUMIFS(TableECFTransport[EnergieConsumptieFactor (PJ per km)],TableECFTransport[Index],CONCATENATE($A10,"_CNG_CNG"))</f>
        <v>3.2673840172544444E-4</v>
      </c>
      <c r="E10" s="451">
        <f>vkm_2011_SW_PW*SUMIFS(TableVerdeelsleutelVkm[LPG],TableVerdeelsleutelVkm[Voertuigtype],"Lichte voertuigen")*SUMIFS(TableECFTransport[EnergieConsumptieFactor (PJ per km)],TableECFTransport[Index],CONCATENATE($A10,"_LPG_LPG"))</f>
        <v>1.6022369199911451E-3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0.34125806767665495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9.2161477854198842E-2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1.351343308916746E-2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0.29018371151849132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1.0100090444528976E-4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9.1434624727461822E-3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58.203481531520431</v>
      </c>
      <c r="C14" s="21"/>
      <c r="D14" s="21">
        <f t="shared" ref="D14:M14" si="0">((D5)*10^9/3600)+D12</f>
        <v>132.85672191686061</v>
      </c>
      <c r="E14" s="21">
        <f t="shared" si="0"/>
        <v>601.79416887234322</v>
      </c>
      <c r="F14" s="21"/>
      <c r="G14" s="21">
        <f t="shared" si="0"/>
        <v>226500.88735463127</v>
      </c>
      <c r="H14" s="21">
        <f t="shared" si="0"/>
        <v>36781.892950282774</v>
      </c>
      <c r="I14" s="21"/>
      <c r="J14" s="21"/>
      <c r="K14" s="21"/>
      <c r="L14" s="21"/>
      <c r="M14" s="21">
        <f t="shared" si="0"/>
        <v>8237.7094267244775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0.21158897352070744</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12.31521491258586</v>
      </c>
      <c r="C18" s="23"/>
      <c r="D18" s="23">
        <f t="shared" ref="D18:M18" si="1">D14*D16</f>
        <v>26.837057827205843</v>
      </c>
      <c r="E18" s="23">
        <f t="shared" si="1"/>
        <v>136.60727633402192</v>
      </c>
      <c r="F18" s="23"/>
      <c r="G18" s="23">
        <f t="shared" si="1"/>
        <v>60475.736923686549</v>
      </c>
      <c r="H18" s="23">
        <f t="shared" si="1"/>
        <v>9158.6913446204107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1.2343974210605512E-3</v>
      </c>
      <c r="H50" s="321">
        <f t="shared" si="2"/>
        <v>0</v>
      </c>
      <c r="I50" s="321">
        <f t="shared" si="2"/>
        <v>0</v>
      </c>
      <c r="J50" s="321">
        <f t="shared" si="2"/>
        <v>0</v>
      </c>
      <c r="K50" s="321">
        <f t="shared" si="2"/>
        <v>0</v>
      </c>
      <c r="L50" s="321">
        <f t="shared" si="2"/>
        <v>0</v>
      </c>
      <c r="M50" s="321">
        <f t="shared" si="2"/>
        <v>3.8288246429498264E-5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1.2343974210605512E-3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3.8288246429498264E-5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342.88817251681979</v>
      </c>
      <c r="H54" s="21">
        <f t="shared" si="3"/>
        <v>0</v>
      </c>
      <c r="I54" s="21">
        <f t="shared" si="3"/>
        <v>0</v>
      </c>
      <c r="J54" s="21">
        <f t="shared" si="3"/>
        <v>0</v>
      </c>
      <c r="K54" s="21">
        <f t="shared" si="3"/>
        <v>0</v>
      </c>
      <c r="L54" s="21">
        <f t="shared" si="3"/>
        <v>0</v>
      </c>
      <c r="M54" s="21">
        <f t="shared" si="3"/>
        <v>10.635624008193963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0.21158897352070744</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91.551142061990888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3561.8867857849104</v>
      </c>
      <c r="C6" s="1203"/>
      <c r="D6" s="1188"/>
      <c r="E6" s="1188"/>
      <c r="F6" s="1206"/>
      <c r="G6" s="1209"/>
      <c r="H6" s="1200"/>
      <c r="I6" s="1188"/>
      <c r="J6" s="1188"/>
      <c r="K6" s="1188"/>
      <c r="L6" s="1192"/>
      <c r="M6" s="575"/>
      <c r="N6" s="1166"/>
      <c r="O6" s="1167"/>
      <c r="Q6" s="573"/>
      <c r="R6" s="1154"/>
      <c r="S6" s="1154"/>
    </row>
    <row r="7" spans="1:19" s="563" customFormat="1">
      <c r="A7" s="576" t="s">
        <v>252</v>
      </c>
      <c r="B7" s="577">
        <f>N57</f>
        <v>21600</v>
      </c>
      <c r="C7" s="578">
        <f>B100</f>
        <v>25411.76470588236</v>
      </c>
      <c r="D7" s="579"/>
      <c r="E7" s="579">
        <f>E100</f>
        <v>0</v>
      </c>
      <c r="F7" s="580"/>
      <c r="G7" s="581"/>
      <c r="H7" s="579">
        <f>I100</f>
        <v>0</v>
      </c>
      <c r="I7" s="579">
        <f>G100+F100</f>
        <v>0</v>
      </c>
      <c r="J7" s="579">
        <f>H100+D100+C100</f>
        <v>0</v>
      </c>
      <c r="K7" s="579"/>
      <c r="L7" s="582"/>
      <c r="M7" s="583">
        <f>C7*$C$11+D7*$D$11+E7*$E$11+F7*$F$11+G7*$G$11+H7*$H$11+I7*$I$11+J7*$J$11</f>
        <v>5133.176470588237</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25161.886785784911</v>
      </c>
      <c r="C9" s="594">
        <f t="shared" ref="C9:L9" si="0">SUM(C7:C8)</f>
        <v>25411.76470588236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5133.176470588237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30857.142857142855</v>
      </c>
      <c r="C16" s="610">
        <f>B101</f>
        <v>36302.521008403368</v>
      </c>
      <c r="D16" s="611"/>
      <c r="E16" s="611">
        <f>E101</f>
        <v>0</v>
      </c>
      <c r="F16" s="612"/>
      <c r="G16" s="613"/>
      <c r="H16" s="610">
        <f>I101</f>
        <v>0</v>
      </c>
      <c r="I16" s="611">
        <f>G101+F101</f>
        <v>0</v>
      </c>
      <c r="J16" s="611">
        <f>H101+D101+C101</f>
        <v>0</v>
      </c>
      <c r="K16" s="611"/>
      <c r="L16" s="614"/>
      <c r="M16" s="615">
        <f>C16*$C$21+E16*$E$21+H16*$H$21+I16*$I$21+J16*$J$21+D16*$D$21+F16*$F$21+G16*$G$21+K16*$K$21+L16*$L$21</f>
        <v>7333.1092436974805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30857.142857142855</v>
      </c>
      <c r="C19" s="593">
        <f>SUM(C16:C18)</f>
        <v>36302.521008403368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7333.1092436974805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44049</v>
      </c>
      <c r="C27" s="851">
        <v>9850</v>
      </c>
      <c r="D27" s="672" t="s">
        <v>818</v>
      </c>
      <c r="E27" s="671" t="s">
        <v>819</v>
      </c>
      <c r="F27" s="671" t="s">
        <v>820</v>
      </c>
      <c r="G27" s="671" t="s">
        <v>821</v>
      </c>
      <c r="H27" s="671" t="s">
        <v>822</v>
      </c>
      <c r="I27" s="671" t="s">
        <v>819</v>
      </c>
      <c r="J27" s="850">
        <v>39436</v>
      </c>
      <c r="K27" s="850">
        <v>39436</v>
      </c>
      <c r="L27" s="671" t="s">
        <v>823</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25.5">
      <c r="A28" s="624"/>
      <c r="B28" s="851">
        <v>44049</v>
      </c>
      <c r="C28" s="851">
        <v>9850</v>
      </c>
      <c r="D28" s="672" t="s">
        <v>824</v>
      </c>
      <c r="E28" s="671" t="s">
        <v>825</v>
      </c>
      <c r="F28" s="671" t="s">
        <v>826</v>
      </c>
      <c r="G28" s="671" t="s">
        <v>821</v>
      </c>
      <c r="H28" s="671" t="s">
        <v>822</v>
      </c>
      <c r="I28" s="671" t="s">
        <v>825</v>
      </c>
      <c r="J28" s="850">
        <v>39496</v>
      </c>
      <c r="K28" s="850">
        <v>39542</v>
      </c>
      <c r="L28" s="671" t="s">
        <v>823</v>
      </c>
      <c r="M28" s="671">
        <v>2000</v>
      </c>
      <c r="N28" s="671">
        <v>9000</v>
      </c>
      <c r="O28" s="671">
        <v>12857.142857142857</v>
      </c>
      <c r="P28" s="671">
        <v>25714.285714285717</v>
      </c>
      <c r="Q28" s="671">
        <v>0</v>
      </c>
      <c r="R28" s="671">
        <v>0</v>
      </c>
      <c r="S28" s="671">
        <v>0</v>
      </c>
      <c r="T28" s="671">
        <v>0</v>
      </c>
      <c r="U28" s="671">
        <v>0</v>
      </c>
      <c r="V28" s="671">
        <v>0</v>
      </c>
      <c r="W28" s="671">
        <v>0</v>
      </c>
      <c r="X28" s="671">
        <v>10</v>
      </c>
      <c r="Y28" s="671" t="s">
        <v>112</v>
      </c>
      <c r="Z28" s="673" t="s">
        <v>112</v>
      </c>
    </row>
    <row r="29" spans="1:26" s="625" customFormat="1" ht="25.5">
      <c r="A29" s="624"/>
      <c r="B29" s="851">
        <v>44049</v>
      </c>
      <c r="C29" s="851">
        <v>9850</v>
      </c>
      <c r="D29" s="672" t="s">
        <v>827</v>
      </c>
      <c r="E29" s="671" t="s">
        <v>828</v>
      </c>
      <c r="F29" s="671" t="s">
        <v>829</v>
      </c>
      <c r="G29" s="671" t="s">
        <v>821</v>
      </c>
      <c r="H29" s="671" t="s">
        <v>822</v>
      </c>
      <c r="I29" s="671" t="s">
        <v>828</v>
      </c>
      <c r="J29" s="850">
        <v>39898</v>
      </c>
      <c r="K29" s="850">
        <v>39708</v>
      </c>
      <c r="L29" s="671" t="s">
        <v>823</v>
      </c>
      <c r="M29" s="671">
        <v>800</v>
      </c>
      <c r="N29" s="671">
        <v>3600</v>
      </c>
      <c r="O29" s="671">
        <v>5142.8571428571431</v>
      </c>
      <c r="P29" s="671">
        <v>10285.714285714286</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4800</v>
      </c>
      <c r="N57" s="629">
        <f>SUM(N27:N56)</f>
        <v>21600</v>
      </c>
      <c r="O57" s="629">
        <f t="shared" ref="O57:W57" si="2">SUM(O27:O56)</f>
        <v>30857.142857142855</v>
      </c>
      <c r="P57" s="629">
        <f t="shared" si="2"/>
        <v>61714.285714285725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4800</v>
      </c>
      <c r="N60" s="634">
        <f t="shared" ref="N60:W60" si="4">SUMIF($Z$27:$Z$56,"landbouw",N27:N56)</f>
        <v>21600</v>
      </c>
      <c r="O60" s="634">
        <f t="shared" si="4"/>
        <v>30857.142857142855</v>
      </c>
      <c r="P60" s="634">
        <f t="shared" si="4"/>
        <v>61714.285714285725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25411.76470588236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36302.521008403368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14337.708100837001</v>
      </c>
      <c r="D10" s="718">
        <f ca="1">tertiair!C16</f>
        <v>0</v>
      </c>
      <c r="E10" s="718">
        <f ca="1">tertiair!D16</f>
        <v>13731.606896103582</v>
      </c>
      <c r="F10" s="718">
        <f>tertiair!E16</f>
        <v>228.6409291335637</v>
      </c>
      <c r="G10" s="718">
        <f ca="1">tertiair!F16</f>
        <v>3246.4425417425832</v>
      </c>
      <c r="H10" s="718">
        <f>tertiair!G16</f>
        <v>0</v>
      </c>
      <c r="I10" s="718">
        <f>tertiair!H16</f>
        <v>0</v>
      </c>
      <c r="J10" s="718">
        <f>tertiair!I16</f>
        <v>0</v>
      </c>
      <c r="K10" s="718">
        <f>tertiair!J16</f>
        <v>0</v>
      </c>
      <c r="L10" s="718">
        <f>tertiair!K16</f>
        <v>0</v>
      </c>
      <c r="M10" s="718">
        <f ca="1">tertiair!L16</f>
        <v>0</v>
      </c>
      <c r="N10" s="718">
        <f>tertiair!M16</f>
        <v>0</v>
      </c>
      <c r="O10" s="718">
        <f ca="1">tertiair!N16</f>
        <v>1292.5930874645164</v>
      </c>
      <c r="P10" s="718">
        <f>tertiair!O16</f>
        <v>6.2533333333333339</v>
      </c>
      <c r="Q10" s="719">
        <f>tertiair!P16</f>
        <v>57.2</v>
      </c>
      <c r="R10" s="721">
        <f ca="1">SUM(C10:Q10)</f>
        <v>32900.444888614576</v>
      </c>
      <c r="S10" s="67"/>
    </row>
    <row r="11" spans="1:19" s="474" customFormat="1">
      <c r="A11" s="870" t="s">
        <v>225</v>
      </c>
      <c r="B11" s="875"/>
      <c r="C11" s="718">
        <f>huishoudens!B8</f>
        <v>24030.01811840446</v>
      </c>
      <c r="D11" s="718">
        <f>huishoudens!C8</f>
        <v>0</v>
      </c>
      <c r="E11" s="718">
        <f>huishoudens!D8</f>
        <v>28141.544700147999</v>
      </c>
      <c r="F11" s="718">
        <f>huishoudens!E8</f>
        <v>8111.9975838375149</v>
      </c>
      <c r="G11" s="718">
        <f>huishoudens!F8</f>
        <v>23765.245085164603</v>
      </c>
      <c r="H11" s="718">
        <f>huishoudens!G8</f>
        <v>0</v>
      </c>
      <c r="I11" s="718">
        <f>huishoudens!H8</f>
        <v>0</v>
      </c>
      <c r="J11" s="718">
        <f>huishoudens!I8</f>
        <v>0</v>
      </c>
      <c r="K11" s="718">
        <f>huishoudens!J8</f>
        <v>1755.1246928562866</v>
      </c>
      <c r="L11" s="718">
        <f>huishoudens!K8</f>
        <v>0</v>
      </c>
      <c r="M11" s="718">
        <f>huishoudens!L8</f>
        <v>0</v>
      </c>
      <c r="N11" s="718">
        <f>huishoudens!M8</f>
        <v>0</v>
      </c>
      <c r="O11" s="718">
        <f>huishoudens!N8</f>
        <v>15610.860206741745</v>
      </c>
      <c r="P11" s="718">
        <f>huishoudens!O8</f>
        <v>254.82333333333335</v>
      </c>
      <c r="Q11" s="719">
        <f>huishoudens!P8</f>
        <v>762.66666666666674</v>
      </c>
      <c r="R11" s="721">
        <f>SUM(C11:Q11)</f>
        <v>102432.28038715261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2489.7794269440001</v>
      </c>
      <c r="D13" s="718">
        <f>industrie!C18</f>
        <v>0</v>
      </c>
      <c r="E13" s="718">
        <f>industrie!D18</f>
        <v>2123.0293640432142</v>
      </c>
      <c r="F13" s="718">
        <f>industrie!E18</f>
        <v>292.3716479495655</v>
      </c>
      <c r="G13" s="718">
        <f>industrie!F18</f>
        <v>1169.9182942928383</v>
      </c>
      <c r="H13" s="718">
        <f>industrie!G18</f>
        <v>0</v>
      </c>
      <c r="I13" s="718">
        <f>industrie!H18</f>
        <v>0</v>
      </c>
      <c r="J13" s="718">
        <f>industrie!I18</f>
        <v>0</v>
      </c>
      <c r="K13" s="718">
        <f>industrie!J18</f>
        <v>7.5660569167806351</v>
      </c>
      <c r="L13" s="718">
        <f>industrie!K18</f>
        <v>0</v>
      </c>
      <c r="M13" s="718">
        <f>industrie!L18</f>
        <v>0</v>
      </c>
      <c r="N13" s="718">
        <f>industrie!M18</f>
        <v>0</v>
      </c>
      <c r="O13" s="718">
        <f>industrie!N18</f>
        <v>794.3208726388084</v>
      </c>
      <c r="P13" s="718">
        <f>industrie!O18</f>
        <v>0</v>
      </c>
      <c r="Q13" s="719">
        <f>industrie!P18</f>
        <v>0</v>
      </c>
      <c r="R13" s="721">
        <f>SUM(C13:Q13)</f>
        <v>6876.9856627852059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40857.505646185462</v>
      </c>
      <c r="D15" s="723">
        <f t="shared" ref="D15:Q15" ca="1" si="0">SUM(D9:D14)</f>
        <v>0</v>
      </c>
      <c r="E15" s="723">
        <f t="shared" ca="1" si="0"/>
        <v>43996.180960294798</v>
      </c>
      <c r="F15" s="723">
        <f t="shared" si="0"/>
        <v>8633.0101609206431</v>
      </c>
      <c r="G15" s="723">
        <f t="shared" ca="1" si="0"/>
        <v>28181.605921200025</v>
      </c>
      <c r="H15" s="723">
        <f t="shared" si="0"/>
        <v>0</v>
      </c>
      <c r="I15" s="723">
        <f t="shared" si="0"/>
        <v>0</v>
      </c>
      <c r="J15" s="723">
        <f t="shared" si="0"/>
        <v>0</v>
      </c>
      <c r="K15" s="723">
        <f t="shared" si="0"/>
        <v>1762.6907497730672</v>
      </c>
      <c r="L15" s="723">
        <f t="shared" si="0"/>
        <v>0</v>
      </c>
      <c r="M15" s="723">
        <f t="shared" ca="1" si="0"/>
        <v>0</v>
      </c>
      <c r="N15" s="723">
        <f t="shared" si="0"/>
        <v>0</v>
      </c>
      <c r="O15" s="723">
        <f t="shared" ca="1" si="0"/>
        <v>17697.774166845069</v>
      </c>
      <c r="P15" s="723">
        <f t="shared" si="0"/>
        <v>261.07666666666671</v>
      </c>
      <c r="Q15" s="724">
        <f t="shared" si="0"/>
        <v>819.86666666666679</v>
      </c>
      <c r="R15" s="725">
        <f ca="1">SUM(R9:R14)</f>
        <v>142209.71093855239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342.88817251681979</v>
      </c>
      <c r="I18" s="718">
        <f>transport!H54</f>
        <v>0</v>
      </c>
      <c r="J18" s="718">
        <f>transport!I54</f>
        <v>0</v>
      </c>
      <c r="K18" s="718">
        <f>transport!J54</f>
        <v>0</v>
      </c>
      <c r="L18" s="718">
        <f>transport!K54</f>
        <v>0</v>
      </c>
      <c r="M18" s="718">
        <f>transport!L54</f>
        <v>0</v>
      </c>
      <c r="N18" s="718">
        <f>transport!M54</f>
        <v>10.635624008193963</v>
      </c>
      <c r="O18" s="718">
        <f>transport!N54</f>
        <v>0</v>
      </c>
      <c r="P18" s="718">
        <f>transport!O54</f>
        <v>0</v>
      </c>
      <c r="Q18" s="719">
        <f>transport!P54</f>
        <v>0</v>
      </c>
      <c r="R18" s="721">
        <f>SUM(C18:Q18)</f>
        <v>353.52379652501378</v>
      </c>
      <c r="S18" s="67"/>
    </row>
    <row r="19" spans="1:19" s="474" customFormat="1" ht="15" thickBot="1">
      <c r="A19" s="870" t="s">
        <v>307</v>
      </c>
      <c r="B19" s="875"/>
      <c r="C19" s="727">
        <f>transport!B14</f>
        <v>58.203481531520431</v>
      </c>
      <c r="D19" s="727">
        <f>transport!C14</f>
        <v>0</v>
      </c>
      <c r="E19" s="727">
        <f>transport!D14</f>
        <v>132.85672191686061</v>
      </c>
      <c r="F19" s="727">
        <f>transport!E14</f>
        <v>601.79416887234322</v>
      </c>
      <c r="G19" s="727">
        <f>transport!F14</f>
        <v>0</v>
      </c>
      <c r="H19" s="727">
        <f>transport!G14</f>
        <v>226500.88735463127</v>
      </c>
      <c r="I19" s="727">
        <f>transport!H14</f>
        <v>36781.892950282774</v>
      </c>
      <c r="J19" s="727">
        <f>transport!I14</f>
        <v>0</v>
      </c>
      <c r="K19" s="727">
        <f>transport!J14</f>
        <v>0</v>
      </c>
      <c r="L19" s="727">
        <f>transport!K14</f>
        <v>0</v>
      </c>
      <c r="M19" s="727">
        <f>transport!L14</f>
        <v>0</v>
      </c>
      <c r="N19" s="727">
        <f>transport!M14</f>
        <v>8237.7094267244775</v>
      </c>
      <c r="O19" s="727">
        <f>transport!N14</f>
        <v>0</v>
      </c>
      <c r="P19" s="727">
        <f>transport!O14</f>
        <v>0</v>
      </c>
      <c r="Q19" s="728">
        <f>transport!P14</f>
        <v>0</v>
      </c>
      <c r="R19" s="729">
        <f>SUM(C19:Q19)</f>
        <v>272313.34410395921</v>
      </c>
      <c r="S19" s="67"/>
    </row>
    <row r="20" spans="1:19" s="474" customFormat="1" ht="15.75" thickBot="1">
      <c r="A20" s="730" t="s">
        <v>230</v>
      </c>
      <c r="B20" s="878"/>
      <c r="C20" s="873">
        <f>SUM(C17:C19)</f>
        <v>58.203481531520431</v>
      </c>
      <c r="D20" s="731">
        <f t="shared" ref="D20:R20" si="1">SUM(D17:D19)</f>
        <v>0</v>
      </c>
      <c r="E20" s="731">
        <f t="shared" si="1"/>
        <v>132.85672191686061</v>
      </c>
      <c r="F20" s="731">
        <f t="shared" si="1"/>
        <v>601.79416887234322</v>
      </c>
      <c r="G20" s="731">
        <f t="shared" si="1"/>
        <v>0</v>
      </c>
      <c r="H20" s="731">
        <f t="shared" si="1"/>
        <v>226843.7755271481</v>
      </c>
      <c r="I20" s="731">
        <f t="shared" si="1"/>
        <v>36781.892950282774</v>
      </c>
      <c r="J20" s="731">
        <f t="shared" si="1"/>
        <v>0</v>
      </c>
      <c r="K20" s="731">
        <f t="shared" si="1"/>
        <v>0</v>
      </c>
      <c r="L20" s="731">
        <f t="shared" si="1"/>
        <v>0</v>
      </c>
      <c r="M20" s="731">
        <f t="shared" si="1"/>
        <v>0</v>
      </c>
      <c r="N20" s="731">
        <f t="shared" si="1"/>
        <v>8248.3450507326706</v>
      </c>
      <c r="O20" s="731">
        <f t="shared" si="1"/>
        <v>0</v>
      </c>
      <c r="P20" s="731">
        <f t="shared" si="1"/>
        <v>0</v>
      </c>
      <c r="Q20" s="732">
        <f t="shared" si="1"/>
        <v>0</v>
      </c>
      <c r="R20" s="733">
        <f t="shared" si="1"/>
        <v>272666.86790048424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4520.4088144750003</v>
      </c>
      <c r="D22" s="727">
        <f>+landbouw!C8</f>
        <v>30857.142857142855</v>
      </c>
      <c r="E22" s="727">
        <f>+landbouw!D8</f>
        <v>14742.079619241791</v>
      </c>
      <c r="F22" s="727">
        <f>+landbouw!E8</f>
        <v>116.56398696211437</v>
      </c>
      <c r="G22" s="727">
        <f>+landbouw!F8</f>
        <v>16522.955086946236</v>
      </c>
      <c r="H22" s="727">
        <f>+landbouw!G8</f>
        <v>0</v>
      </c>
      <c r="I22" s="727">
        <f>+landbouw!H8</f>
        <v>0</v>
      </c>
      <c r="J22" s="727">
        <f>+landbouw!I8</f>
        <v>0</v>
      </c>
      <c r="K22" s="727">
        <f>+landbouw!J8</f>
        <v>650.77257855550715</v>
      </c>
      <c r="L22" s="727">
        <f>+landbouw!K8</f>
        <v>0</v>
      </c>
      <c r="M22" s="727">
        <f>+landbouw!L8</f>
        <v>0</v>
      </c>
      <c r="N22" s="727">
        <f>+landbouw!M8</f>
        <v>0</v>
      </c>
      <c r="O22" s="727">
        <f>+landbouw!N8</f>
        <v>0</v>
      </c>
      <c r="P22" s="727">
        <f>+landbouw!O8</f>
        <v>0</v>
      </c>
      <c r="Q22" s="728">
        <f>+landbouw!P8</f>
        <v>0</v>
      </c>
      <c r="R22" s="729">
        <f>SUM(C22:Q22)</f>
        <v>67409.922943323501</v>
      </c>
      <c r="S22" s="67"/>
    </row>
    <row r="23" spans="1:19" s="474" customFormat="1" ht="17.25" thickTop="1" thickBot="1">
      <c r="A23" s="734" t="s">
        <v>116</v>
      </c>
      <c r="B23" s="864"/>
      <c r="C23" s="735">
        <f ca="1">C20+C15+C22</f>
        <v>45436.117942191981</v>
      </c>
      <c r="D23" s="735">
        <f t="shared" ref="D23:Q23" ca="1" si="2">D20+D15+D22</f>
        <v>30857.142857142855</v>
      </c>
      <c r="E23" s="735">
        <f t="shared" ca="1" si="2"/>
        <v>58871.117301453451</v>
      </c>
      <c r="F23" s="735">
        <f t="shared" si="2"/>
        <v>9351.3683167551008</v>
      </c>
      <c r="G23" s="735">
        <f t="shared" ca="1" si="2"/>
        <v>44704.561008146266</v>
      </c>
      <c r="H23" s="735">
        <f t="shared" si="2"/>
        <v>226843.7755271481</v>
      </c>
      <c r="I23" s="735">
        <f t="shared" si="2"/>
        <v>36781.892950282774</v>
      </c>
      <c r="J23" s="735">
        <f t="shared" si="2"/>
        <v>0</v>
      </c>
      <c r="K23" s="735">
        <f t="shared" si="2"/>
        <v>2413.4633283285743</v>
      </c>
      <c r="L23" s="735">
        <f t="shared" si="2"/>
        <v>0</v>
      </c>
      <c r="M23" s="735">
        <f t="shared" ca="1" si="2"/>
        <v>0</v>
      </c>
      <c r="N23" s="735">
        <f t="shared" si="2"/>
        <v>8248.3450507326706</v>
      </c>
      <c r="O23" s="735">
        <f t="shared" ca="1" si="2"/>
        <v>17697.774166845069</v>
      </c>
      <c r="P23" s="735">
        <f t="shared" si="2"/>
        <v>261.07666666666671</v>
      </c>
      <c r="Q23" s="736">
        <f t="shared" si="2"/>
        <v>819.86666666666679</v>
      </c>
      <c r="R23" s="737">
        <f ca="1">R20+R15+R22</f>
        <v>482286.50178236014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3033.7009396956323</v>
      </c>
      <c r="D36" s="718">
        <f ca="1">tertiair!C20</f>
        <v>0</v>
      </c>
      <c r="E36" s="718">
        <f ca="1">tertiair!D20</f>
        <v>2773.7845930129238</v>
      </c>
      <c r="F36" s="718">
        <f>tertiair!E20</f>
        <v>51.901490913318959</v>
      </c>
      <c r="G36" s="718">
        <f ca="1">tertiair!F20</f>
        <v>866.80015864526979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6726.1871822671455</v>
      </c>
    </row>
    <row r="37" spans="1:18">
      <c r="A37" s="885" t="s">
        <v>225</v>
      </c>
      <c r="B37" s="892"/>
      <c r="C37" s="718">
        <f ca="1">huishoudens!B12</f>
        <v>5084.4868673572009</v>
      </c>
      <c r="D37" s="718">
        <f ca="1">huishoudens!C12</f>
        <v>0</v>
      </c>
      <c r="E37" s="718">
        <f>huishoudens!D12</f>
        <v>5684.5920294298958</v>
      </c>
      <c r="F37" s="718">
        <f>huishoudens!E12</f>
        <v>1841.4234515311159</v>
      </c>
      <c r="G37" s="718">
        <f>huishoudens!F12</f>
        <v>6345.3204377389493</v>
      </c>
      <c r="H37" s="718">
        <f>huishoudens!G12</f>
        <v>0</v>
      </c>
      <c r="I37" s="718">
        <f>huishoudens!H12</f>
        <v>0</v>
      </c>
      <c r="J37" s="718">
        <f>huishoudens!I12</f>
        <v>0</v>
      </c>
      <c r="K37" s="718">
        <f>huishoudens!J12</f>
        <v>621.31414127112544</v>
      </c>
      <c r="L37" s="718">
        <f>huishoudens!K12</f>
        <v>0</v>
      </c>
      <c r="M37" s="718">
        <f>huishoudens!L12</f>
        <v>0</v>
      </c>
      <c r="N37" s="718">
        <f>huishoudens!M12</f>
        <v>0</v>
      </c>
      <c r="O37" s="718">
        <f>huishoudens!N12</f>
        <v>0</v>
      </c>
      <c r="P37" s="718">
        <f>huishoudens!O12</f>
        <v>0</v>
      </c>
      <c r="Q37" s="828">
        <f>huishoudens!P12</f>
        <v>0</v>
      </c>
      <c r="R37" s="917">
        <f ca="1">SUM(C37:Q37)</f>
        <v>19577.136927328291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526.80987324005616</v>
      </c>
      <c r="D39" s="718">
        <f ca="1">industrie!C22</f>
        <v>0</v>
      </c>
      <c r="E39" s="718">
        <f>industrie!D22</f>
        <v>428.8519315367293</v>
      </c>
      <c r="F39" s="718">
        <f>industrie!E22</f>
        <v>66.368364084551374</v>
      </c>
      <c r="G39" s="718">
        <f>industrie!F22</f>
        <v>312.36818457618784</v>
      </c>
      <c r="H39" s="718">
        <f>industrie!G22</f>
        <v>0</v>
      </c>
      <c r="I39" s="718">
        <f>industrie!H22</f>
        <v>0</v>
      </c>
      <c r="J39" s="718">
        <f>industrie!I22</f>
        <v>0</v>
      </c>
      <c r="K39" s="718">
        <f>industrie!J22</f>
        <v>2.6783841485403448</v>
      </c>
      <c r="L39" s="718">
        <f>industrie!K22</f>
        <v>0</v>
      </c>
      <c r="M39" s="718">
        <f>industrie!L22</f>
        <v>0</v>
      </c>
      <c r="N39" s="718">
        <f>industrie!M22</f>
        <v>0</v>
      </c>
      <c r="O39" s="718">
        <f>industrie!N22</f>
        <v>0</v>
      </c>
      <c r="P39" s="718">
        <f>industrie!O22</f>
        <v>0</v>
      </c>
      <c r="Q39" s="828">
        <f>industrie!P22</f>
        <v>0</v>
      </c>
      <c r="R39" s="918">
        <f ca="1">SUM(C39:Q39)</f>
        <v>1337.0767375860648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8644.9976802928886</v>
      </c>
      <c r="D41" s="763">
        <f t="shared" ref="D41:R41" ca="1" si="4">SUM(D35:D40)</f>
        <v>0</v>
      </c>
      <c r="E41" s="763">
        <f t="shared" ca="1" si="4"/>
        <v>8887.2285539795485</v>
      </c>
      <c r="F41" s="763">
        <f t="shared" si="4"/>
        <v>1959.6933065289861</v>
      </c>
      <c r="G41" s="763">
        <f t="shared" ca="1" si="4"/>
        <v>7524.488780960407</v>
      </c>
      <c r="H41" s="763">
        <f t="shared" si="4"/>
        <v>0</v>
      </c>
      <c r="I41" s="763">
        <f t="shared" si="4"/>
        <v>0</v>
      </c>
      <c r="J41" s="763">
        <f t="shared" si="4"/>
        <v>0</v>
      </c>
      <c r="K41" s="763">
        <f t="shared" si="4"/>
        <v>623.99252541966575</v>
      </c>
      <c r="L41" s="763">
        <f t="shared" si="4"/>
        <v>0</v>
      </c>
      <c r="M41" s="763">
        <f t="shared" ca="1" si="4"/>
        <v>0</v>
      </c>
      <c r="N41" s="763">
        <f t="shared" si="4"/>
        <v>0</v>
      </c>
      <c r="O41" s="763">
        <f t="shared" ca="1" si="4"/>
        <v>0</v>
      </c>
      <c r="P41" s="763">
        <f t="shared" si="4"/>
        <v>0</v>
      </c>
      <c r="Q41" s="764">
        <f t="shared" si="4"/>
        <v>0</v>
      </c>
      <c r="R41" s="765">
        <f t="shared" ca="1" si="4"/>
        <v>27640.4008471815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91.551142061990888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91.551142061990888</v>
      </c>
    </row>
    <row r="45" spans="1:18" ht="15" thickBot="1">
      <c r="A45" s="888" t="s">
        <v>307</v>
      </c>
      <c r="B45" s="898"/>
      <c r="C45" s="727">
        <f ca="1">transport!B18</f>
        <v>12.31521491258586</v>
      </c>
      <c r="D45" s="727">
        <f>transport!C18</f>
        <v>0</v>
      </c>
      <c r="E45" s="727">
        <f>transport!D18</f>
        <v>26.837057827205843</v>
      </c>
      <c r="F45" s="727">
        <f>transport!E18</f>
        <v>136.60727633402192</v>
      </c>
      <c r="G45" s="727">
        <f>transport!F18</f>
        <v>0</v>
      </c>
      <c r="H45" s="727">
        <f>transport!G18</f>
        <v>60475.736923686549</v>
      </c>
      <c r="I45" s="727">
        <f>transport!H18</f>
        <v>9158.6913446204107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69810.187817380778</v>
      </c>
    </row>
    <row r="46" spans="1:18" ht="15.75" thickBot="1">
      <c r="A46" s="886" t="s">
        <v>230</v>
      </c>
      <c r="B46" s="899"/>
      <c r="C46" s="763">
        <f t="shared" ref="C46:R46" ca="1" si="5">SUM(C43:C45)</f>
        <v>12.31521491258586</v>
      </c>
      <c r="D46" s="763">
        <f t="shared" ca="1" si="5"/>
        <v>0</v>
      </c>
      <c r="E46" s="763">
        <f t="shared" si="5"/>
        <v>26.837057827205843</v>
      </c>
      <c r="F46" s="763">
        <f t="shared" si="5"/>
        <v>136.60727633402192</v>
      </c>
      <c r="G46" s="763">
        <f t="shared" si="5"/>
        <v>0</v>
      </c>
      <c r="H46" s="763">
        <f t="shared" si="5"/>
        <v>60567.288065748537</v>
      </c>
      <c r="I46" s="763">
        <f t="shared" si="5"/>
        <v>9158.6913446204107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69901.738959442766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956.46866094872337</v>
      </c>
      <c r="D48" s="718">
        <f ca="1">+landbouw!C12</f>
        <v>7333.1092436974805</v>
      </c>
      <c r="E48" s="718">
        <f>+landbouw!D12</f>
        <v>2977.9000830868422</v>
      </c>
      <c r="F48" s="718">
        <f>+landbouw!E12</f>
        <v>26.460025040399962</v>
      </c>
      <c r="G48" s="718">
        <f>+landbouw!F12</f>
        <v>4411.6290082146452</v>
      </c>
      <c r="H48" s="718">
        <f>+landbouw!G12</f>
        <v>0</v>
      </c>
      <c r="I48" s="718">
        <f>+landbouw!H12</f>
        <v>0</v>
      </c>
      <c r="J48" s="718">
        <f>+landbouw!I12</f>
        <v>0</v>
      </c>
      <c r="K48" s="718">
        <f>+landbouw!J12</f>
        <v>230.37349280864953</v>
      </c>
      <c r="L48" s="718">
        <f>+landbouw!K12</f>
        <v>0</v>
      </c>
      <c r="M48" s="718">
        <f>+landbouw!L12</f>
        <v>0</v>
      </c>
      <c r="N48" s="718">
        <f>+landbouw!M12</f>
        <v>0</v>
      </c>
      <c r="O48" s="718">
        <f>+landbouw!N12</f>
        <v>0</v>
      </c>
      <c r="P48" s="718">
        <f>+landbouw!O12</f>
        <v>0</v>
      </c>
      <c r="Q48" s="719">
        <f>+landbouw!P12</f>
        <v>0</v>
      </c>
      <c r="R48" s="761">
        <f ca="1">SUM(C48:Q48)</f>
        <v>15935.940513796741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9613.7815561541975</v>
      </c>
      <c r="D53" s="773">
        <f t="shared" ref="D53:Q53" ca="1" si="6">D41+D46+D48</f>
        <v>7333.1092436974805</v>
      </c>
      <c r="E53" s="773">
        <f t="shared" ca="1" si="6"/>
        <v>11891.965694893597</v>
      </c>
      <c r="F53" s="773">
        <f t="shared" si="6"/>
        <v>2122.7606079034081</v>
      </c>
      <c r="G53" s="773">
        <f t="shared" ca="1" si="6"/>
        <v>11936.117789175052</v>
      </c>
      <c r="H53" s="773">
        <f t="shared" si="6"/>
        <v>60567.288065748537</v>
      </c>
      <c r="I53" s="773">
        <f t="shared" si="6"/>
        <v>9158.6913446204107</v>
      </c>
      <c r="J53" s="773">
        <f t="shared" si="6"/>
        <v>0</v>
      </c>
      <c r="K53" s="773">
        <f t="shared" si="6"/>
        <v>854.36601822831528</v>
      </c>
      <c r="L53" s="773">
        <f t="shared" si="6"/>
        <v>0</v>
      </c>
      <c r="M53" s="773">
        <f t="shared" ca="1" si="6"/>
        <v>0</v>
      </c>
      <c r="N53" s="773">
        <f t="shared" si="6"/>
        <v>0</v>
      </c>
      <c r="O53" s="773">
        <f t="shared" ca="1" si="6"/>
        <v>0</v>
      </c>
      <c r="P53" s="773">
        <f>P41+P46+P48</f>
        <v>0</v>
      </c>
      <c r="Q53" s="774">
        <f t="shared" si="6"/>
        <v>0</v>
      </c>
      <c r="R53" s="775">
        <f ca="1">R41+R46+R48</f>
        <v>113478.08032042101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0.21158897352070741</v>
      </c>
      <c r="D55" s="836">
        <f t="shared" ca="1" si="7"/>
        <v>0.23764705882352949</v>
      </c>
      <c r="E55" s="836">
        <f t="shared" ca="1" si="7"/>
        <v>0.20200000000000001</v>
      </c>
      <c r="F55" s="836">
        <f t="shared" si="7"/>
        <v>0.22700000000000004</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3561.8867857849104</v>
      </c>
      <c r="C66" s="795">
        <f>'lokale energieproductie'!B6</f>
        <v>3561.8867857849104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21600</v>
      </c>
      <c r="C67" s="794">
        <f>B67*IFERROR(SUM(J67:L67)/SUM(D67:M67),0)</f>
        <v>0</v>
      </c>
      <c r="D67" s="826">
        <f>'lokale energieproductie'!C7</f>
        <v>25411.76470588236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5133.176470588237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25161.886785784911</v>
      </c>
      <c r="C69" s="803">
        <f>SUM(C64:C68)</f>
        <v>3561.8867857849104</v>
      </c>
      <c r="D69" s="804">
        <f t="shared" ref="D69:M69" si="8">SUM(D67:D68)</f>
        <v>25411.76470588236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5133.176470588237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30857.142857142855</v>
      </c>
      <c r="C78" s="817">
        <f>B78*IFERROR(SUM(I78:L78)/SUM(D78:M78),0)</f>
        <v>0</v>
      </c>
      <c r="D78" s="832">
        <f>'lokale energieproductie'!C16</f>
        <v>36302.521008403368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7333.1092436974805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30857.142857142855</v>
      </c>
      <c r="C81" s="803">
        <f>SUM(C78:C80)</f>
        <v>0</v>
      </c>
      <c r="D81" s="803">
        <f t="shared" ref="D81:P81" si="9">SUM(D78:D80)</f>
        <v>36302.521008403368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7333.1092436974805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24030.01811840446</v>
      </c>
      <c r="C4" s="478">
        <f>huishoudens!C8</f>
        <v>0</v>
      </c>
      <c r="D4" s="478">
        <f>huishoudens!D8</f>
        <v>28141.544700147999</v>
      </c>
      <c r="E4" s="478">
        <f>huishoudens!E8</f>
        <v>8111.9975838375149</v>
      </c>
      <c r="F4" s="478">
        <f>huishoudens!F8</f>
        <v>23765.245085164603</v>
      </c>
      <c r="G4" s="478">
        <f>huishoudens!G8</f>
        <v>0</v>
      </c>
      <c r="H4" s="478">
        <f>huishoudens!H8</f>
        <v>0</v>
      </c>
      <c r="I4" s="478">
        <f>huishoudens!I8</f>
        <v>0</v>
      </c>
      <c r="J4" s="478">
        <f>huishoudens!J8</f>
        <v>1755.1246928562866</v>
      </c>
      <c r="K4" s="478">
        <f>huishoudens!K8</f>
        <v>0</v>
      </c>
      <c r="L4" s="478">
        <f>huishoudens!L8</f>
        <v>0</v>
      </c>
      <c r="M4" s="478">
        <f>huishoudens!M8</f>
        <v>0</v>
      </c>
      <c r="N4" s="478">
        <f>huishoudens!N8</f>
        <v>15610.860206741745</v>
      </c>
      <c r="O4" s="478">
        <f>huishoudens!O8</f>
        <v>254.82333333333335</v>
      </c>
      <c r="P4" s="479">
        <f>huishoudens!P8</f>
        <v>762.66666666666674</v>
      </c>
      <c r="Q4" s="480">
        <f>SUM(B4:P4)</f>
        <v>102432.28038715261</v>
      </c>
    </row>
    <row r="5" spans="1:17">
      <c r="A5" s="477" t="s">
        <v>156</v>
      </c>
      <c r="B5" s="478">
        <f ca="1">tertiair!B16</f>
        <v>13164.226100837001</v>
      </c>
      <c r="C5" s="478">
        <f ca="1">tertiair!C16</f>
        <v>0</v>
      </c>
      <c r="D5" s="478">
        <f ca="1">tertiair!D16</f>
        <v>13731.606896103582</v>
      </c>
      <c r="E5" s="478">
        <f>tertiair!E16</f>
        <v>228.6409291335637</v>
      </c>
      <c r="F5" s="478">
        <f ca="1">tertiair!F16</f>
        <v>3246.4425417425832</v>
      </c>
      <c r="G5" s="478">
        <f>tertiair!G16</f>
        <v>0</v>
      </c>
      <c r="H5" s="478">
        <f>tertiair!H16</f>
        <v>0</v>
      </c>
      <c r="I5" s="478">
        <f>tertiair!I16</f>
        <v>0</v>
      </c>
      <c r="J5" s="478">
        <f>tertiair!J16</f>
        <v>0</v>
      </c>
      <c r="K5" s="478">
        <f>tertiair!K16</f>
        <v>0</v>
      </c>
      <c r="L5" s="478">
        <f ca="1">tertiair!L16</f>
        <v>0</v>
      </c>
      <c r="M5" s="478">
        <f>tertiair!M16</f>
        <v>0</v>
      </c>
      <c r="N5" s="478">
        <f ca="1">tertiair!N16</f>
        <v>1292.5930874645164</v>
      </c>
      <c r="O5" s="478">
        <f>tertiair!O16</f>
        <v>6.2533333333333339</v>
      </c>
      <c r="P5" s="479">
        <f>tertiair!P16</f>
        <v>57.2</v>
      </c>
      <c r="Q5" s="477">
        <f t="shared" ref="Q5:Q13" ca="1" si="0">SUM(B5:P5)</f>
        <v>31726.96288861458</v>
      </c>
    </row>
    <row r="6" spans="1:17">
      <c r="A6" s="477" t="s">
        <v>194</v>
      </c>
      <c r="B6" s="478">
        <f>'openbare verlichting'!B8</f>
        <v>1173.482</v>
      </c>
      <c r="C6" s="478"/>
      <c r="D6" s="478"/>
      <c r="E6" s="478"/>
      <c r="F6" s="478"/>
      <c r="G6" s="478"/>
      <c r="H6" s="478"/>
      <c r="I6" s="478"/>
      <c r="J6" s="478"/>
      <c r="K6" s="478"/>
      <c r="L6" s="478"/>
      <c r="M6" s="478"/>
      <c r="N6" s="478"/>
      <c r="O6" s="478"/>
      <c r="P6" s="479"/>
      <c r="Q6" s="477">
        <f t="shared" si="0"/>
        <v>1173.482</v>
      </c>
    </row>
    <row r="7" spans="1:17">
      <c r="A7" s="477" t="s">
        <v>112</v>
      </c>
      <c r="B7" s="478">
        <f>landbouw!B8</f>
        <v>4520.4088144750003</v>
      </c>
      <c r="C7" s="478">
        <f>landbouw!C8</f>
        <v>30857.142857142855</v>
      </c>
      <c r="D7" s="478">
        <f>landbouw!D8</f>
        <v>14742.079619241791</v>
      </c>
      <c r="E7" s="478">
        <f>landbouw!E8</f>
        <v>116.56398696211437</v>
      </c>
      <c r="F7" s="478">
        <f>landbouw!F8</f>
        <v>16522.955086946236</v>
      </c>
      <c r="G7" s="478">
        <f>landbouw!G8</f>
        <v>0</v>
      </c>
      <c r="H7" s="478">
        <f>landbouw!H8</f>
        <v>0</v>
      </c>
      <c r="I7" s="478">
        <f>landbouw!I8</f>
        <v>0</v>
      </c>
      <c r="J7" s="478">
        <f>landbouw!J8</f>
        <v>650.77257855550715</v>
      </c>
      <c r="K7" s="478">
        <f>landbouw!K8</f>
        <v>0</v>
      </c>
      <c r="L7" s="478">
        <f>landbouw!L8</f>
        <v>0</v>
      </c>
      <c r="M7" s="478">
        <f>landbouw!M8</f>
        <v>0</v>
      </c>
      <c r="N7" s="478">
        <f>landbouw!N8</f>
        <v>0</v>
      </c>
      <c r="O7" s="478">
        <f>landbouw!O8</f>
        <v>0</v>
      </c>
      <c r="P7" s="479">
        <f>landbouw!P8</f>
        <v>0</v>
      </c>
      <c r="Q7" s="477">
        <f t="shared" si="0"/>
        <v>67409.922943323501</v>
      </c>
    </row>
    <row r="8" spans="1:17">
      <c r="A8" s="477" t="s">
        <v>638</v>
      </c>
      <c r="B8" s="478">
        <f>industrie!B18</f>
        <v>2489.7794269440001</v>
      </c>
      <c r="C8" s="478">
        <f>industrie!C18</f>
        <v>0</v>
      </c>
      <c r="D8" s="478">
        <f>industrie!D18</f>
        <v>2123.0293640432142</v>
      </c>
      <c r="E8" s="478">
        <f>industrie!E18</f>
        <v>292.3716479495655</v>
      </c>
      <c r="F8" s="478">
        <f>industrie!F18</f>
        <v>1169.9182942928383</v>
      </c>
      <c r="G8" s="478">
        <f>industrie!G18</f>
        <v>0</v>
      </c>
      <c r="H8" s="478">
        <f>industrie!H18</f>
        <v>0</v>
      </c>
      <c r="I8" s="478">
        <f>industrie!I18</f>
        <v>0</v>
      </c>
      <c r="J8" s="478">
        <f>industrie!J18</f>
        <v>7.5660569167806351</v>
      </c>
      <c r="K8" s="478">
        <f>industrie!K18</f>
        <v>0</v>
      </c>
      <c r="L8" s="478">
        <f>industrie!L18</f>
        <v>0</v>
      </c>
      <c r="M8" s="478">
        <f>industrie!M18</f>
        <v>0</v>
      </c>
      <c r="N8" s="478">
        <f>industrie!N18</f>
        <v>794.3208726388084</v>
      </c>
      <c r="O8" s="478">
        <f>industrie!O18</f>
        <v>0</v>
      </c>
      <c r="P8" s="479">
        <f>industrie!P18</f>
        <v>0</v>
      </c>
      <c r="Q8" s="477">
        <f t="shared" si="0"/>
        <v>6876.9856627852059</v>
      </c>
    </row>
    <row r="9" spans="1:17" s="483" customFormat="1">
      <c r="A9" s="481" t="s">
        <v>564</v>
      </c>
      <c r="B9" s="482">
        <f>transport!B14</f>
        <v>58.203481531520431</v>
      </c>
      <c r="C9" s="482">
        <f>transport!C14</f>
        <v>0</v>
      </c>
      <c r="D9" s="482">
        <f>transport!D14</f>
        <v>132.85672191686061</v>
      </c>
      <c r="E9" s="482">
        <f>transport!E14</f>
        <v>601.79416887234322</v>
      </c>
      <c r="F9" s="482">
        <f>transport!F14</f>
        <v>0</v>
      </c>
      <c r="G9" s="482">
        <f>transport!G14</f>
        <v>226500.88735463127</v>
      </c>
      <c r="H9" s="482">
        <f>transport!H14</f>
        <v>36781.892950282774</v>
      </c>
      <c r="I9" s="482">
        <f>transport!I14</f>
        <v>0</v>
      </c>
      <c r="J9" s="482">
        <f>transport!J14</f>
        <v>0</v>
      </c>
      <c r="K9" s="482">
        <f>transport!K14</f>
        <v>0</v>
      </c>
      <c r="L9" s="482">
        <f>transport!L14</f>
        <v>0</v>
      </c>
      <c r="M9" s="482">
        <f>transport!M14</f>
        <v>8237.7094267244775</v>
      </c>
      <c r="N9" s="482">
        <f>transport!N14</f>
        <v>0</v>
      </c>
      <c r="O9" s="482">
        <f>transport!O14</f>
        <v>0</v>
      </c>
      <c r="P9" s="482">
        <f>transport!P14</f>
        <v>0</v>
      </c>
      <c r="Q9" s="481">
        <f>SUM(B9:P9)</f>
        <v>272313.34410395921</v>
      </c>
    </row>
    <row r="10" spans="1:17">
      <c r="A10" s="477" t="s">
        <v>554</v>
      </c>
      <c r="B10" s="478">
        <f>transport!B54</f>
        <v>0</v>
      </c>
      <c r="C10" s="478">
        <f>transport!C54</f>
        <v>0</v>
      </c>
      <c r="D10" s="478">
        <f>transport!D54</f>
        <v>0</v>
      </c>
      <c r="E10" s="478">
        <f>transport!E54</f>
        <v>0</v>
      </c>
      <c r="F10" s="478">
        <f>transport!F54</f>
        <v>0</v>
      </c>
      <c r="G10" s="478">
        <f>transport!G54</f>
        <v>342.88817251681979</v>
      </c>
      <c r="H10" s="478">
        <f>transport!H54</f>
        <v>0</v>
      </c>
      <c r="I10" s="478">
        <f>transport!I54</f>
        <v>0</v>
      </c>
      <c r="J10" s="478">
        <f>transport!J54</f>
        <v>0</v>
      </c>
      <c r="K10" s="478">
        <f>transport!K54</f>
        <v>0</v>
      </c>
      <c r="L10" s="478">
        <f>transport!L54</f>
        <v>0</v>
      </c>
      <c r="M10" s="478">
        <f>transport!M54</f>
        <v>10.635624008193963</v>
      </c>
      <c r="N10" s="478">
        <f>transport!N54</f>
        <v>0</v>
      </c>
      <c r="O10" s="478">
        <f>transport!O54</f>
        <v>0</v>
      </c>
      <c r="P10" s="479">
        <f>transport!P54</f>
        <v>0</v>
      </c>
      <c r="Q10" s="477">
        <f t="shared" si="0"/>
        <v>353.52379652501378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45436.117942191981</v>
      </c>
      <c r="C14" s="488">
        <f t="shared" ref="C14:Q14" ca="1" si="1">SUM(C4:C13)</f>
        <v>30857.142857142855</v>
      </c>
      <c r="D14" s="488">
        <f t="shared" ca="1" si="1"/>
        <v>58871.117301453451</v>
      </c>
      <c r="E14" s="488">
        <f t="shared" si="1"/>
        <v>9351.3683167551008</v>
      </c>
      <c r="F14" s="488">
        <f t="shared" ca="1" si="1"/>
        <v>44704.561008146258</v>
      </c>
      <c r="G14" s="488">
        <f t="shared" si="1"/>
        <v>226843.7755271481</v>
      </c>
      <c r="H14" s="488">
        <f t="shared" si="1"/>
        <v>36781.892950282774</v>
      </c>
      <c r="I14" s="488">
        <f t="shared" si="1"/>
        <v>0</v>
      </c>
      <c r="J14" s="488">
        <f t="shared" si="1"/>
        <v>2413.4633283285743</v>
      </c>
      <c r="K14" s="488">
        <f t="shared" si="1"/>
        <v>0</v>
      </c>
      <c r="L14" s="488">
        <f t="shared" ca="1" si="1"/>
        <v>0</v>
      </c>
      <c r="M14" s="488">
        <f t="shared" si="1"/>
        <v>8248.3450507326706</v>
      </c>
      <c r="N14" s="488">
        <f t="shared" ca="1" si="1"/>
        <v>17697.774166845069</v>
      </c>
      <c r="O14" s="488">
        <f t="shared" si="1"/>
        <v>261.07666666666671</v>
      </c>
      <c r="P14" s="489">
        <f t="shared" si="1"/>
        <v>819.86666666666679</v>
      </c>
      <c r="Q14" s="489">
        <f t="shared" ca="1" si="1"/>
        <v>482286.50178236014</v>
      </c>
    </row>
    <row r="16" spans="1:17">
      <c r="A16" s="491" t="s">
        <v>559</v>
      </c>
      <c r="B16" s="841">
        <f ca="1">huishoudens!B10</f>
        <v>0.21158897352070744</v>
      </c>
      <c r="C16" s="841">
        <f ca="1">huishoudens!C10</f>
        <v>0.23764705882352949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5084.4868673572009</v>
      </c>
      <c r="C21" s="478">
        <f t="shared" ref="C21:C30" ca="1" si="3">C4*$C$16</f>
        <v>0</v>
      </c>
      <c r="D21" s="478">
        <f t="shared" ref="D21:D30" si="4">D4*$D$16</f>
        <v>5684.5920294298958</v>
      </c>
      <c r="E21" s="478">
        <f t="shared" ref="E21:E30" si="5">E4*$E$16</f>
        <v>1841.4234515311159</v>
      </c>
      <c r="F21" s="478">
        <f t="shared" ref="F21:F30" si="6">F4*$F$16</f>
        <v>6345.3204377389493</v>
      </c>
      <c r="G21" s="478">
        <f t="shared" ref="G21:G30" si="7">G4*$G$16</f>
        <v>0</v>
      </c>
      <c r="H21" s="478">
        <f t="shared" ref="H21:H30" si="8">H4*$H$16</f>
        <v>0</v>
      </c>
      <c r="I21" s="478">
        <f t="shared" ref="I21:I30" si="9">I4*$I$16</f>
        <v>0</v>
      </c>
      <c r="J21" s="478">
        <f t="shared" ref="J21:J30" si="10">J4*$J$16</f>
        <v>621.31414127112544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19577.136927328291</v>
      </c>
    </row>
    <row r="22" spans="1:17">
      <c r="A22" s="477" t="s">
        <v>156</v>
      </c>
      <c r="B22" s="478">
        <f t="shared" ca="1" si="2"/>
        <v>2785.4050878706057</v>
      </c>
      <c r="C22" s="478">
        <f t="shared" ca="1" si="3"/>
        <v>0</v>
      </c>
      <c r="D22" s="478">
        <f t="shared" ca="1" si="4"/>
        <v>2773.7845930129238</v>
      </c>
      <c r="E22" s="478">
        <f t="shared" si="5"/>
        <v>51.901490913318959</v>
      </c>
      <c r="F22" s="478">
        <f t="shared" ca="1" si="6"/>
        <v>866.80015864526979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6477.8913304421194</v>
      </c>
    </row>
    <row r="23" spans="1:17">
      <c r="A23" s="477" t="s">
        <v>194</v>
      </c>
      <c r="B23" s="478">
        <f t="shared" ca="1" si="2"/>
        <v>248.2958518250268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248.2958518250268</v>
      </c>
    </row>
    <row r="24" spans="1:17">
      <c r="A24" s="477" t="s">
        <v>112</v>
      </c>
      <c r="B24" s="478">
        <f t="shared" ca="1" si="2"/>
        <v>956.46866094872337</v>
      </c>
      <c r="C24" s="478">
        <f t="shared" ca="1" si="3"/>
        <v>7333.1092436974805</v>
      </c>
      <c r="D24" s="478">
        <f t="shared" si="4"/>
        <v>2977.9000830868422</v>
      </c>
      <c r="E24" s="478">
        <f t="shared" si="5"/>
        <v>26.460025040399962</v>
      </c>
      <c r="F24" s="478">
        <f t="shared" si="6"/>
        <v>4411.6290082146452</v>
      </c>
      <c r="G24" s="478">
        <f t="shared" si="7"/>
        <v>0</v>
      </c>
      <c r="H24" s="478">
        <f t="shared" si="8"/>
        <v>0</v>
      </c>
      <c r="I24" s="478">
        <f t="shared" si="9"/>
        <v>0</v>
      </c>
      <c r="J24" s="478">
        <f t="shared" si="10"/>
        <v>230.37349280864953</v>
      </c>
      <c r="K24" s="478">
        <f t="shared" si="11"/>
        <v>0</v>
      </c>
      <c r="L24" s="478">
        <f t="shared" si="12"/>
        <v>0</v>
      </c>
      <c r="M24" s="478">
        <f t="shared" si="13"/>
        <v>0</v>
      </c>
      <c r="N24" s="478">
        <f t="shared" si="14"/>
        <v>0</v>
      </c>
      <c r="O24" s="478">
        <f t="shared" si="15"/>
        <v>0</v>
      </c>
      <c r="P24" s="479">
        <f t="shared" si="16"/>
        <v>0</v>
      </c>
      <c r="Q24" s="477">
        <f t="shared" ca="1" si="17"/>
        <v>15935.940513796741</v>
      </c>
    </row>
    <row r="25" spans="1:17">
      <c r="A25" s="477" t="s">
        <v>638</v>
      </c>
      <c r="B25" s="478">
        <f t="shared" ca="1" si="2"/>
        <v>526.80987324005616</v>
      </c>
      <c r="C25" s="478">
        <f t="shared" ca="1" si="3"/>
        <v>0</v>
      </c>
      <c r="D25" s="478">
        <f t="shared" si="4"/>
        <v>428.8519315367293</v>
      </c>
      <c r="E25" s="478">
        <f t="shared" si="5"/>
        <v>66.368364084551374</v>
      </c>
      <c r="F25" s="478">
        <f t="shared" si="6"/>
        <v>312.36818457618784</v>
      </c>
      <c r="G25" s="478">
        <f t="shared" si="7"/>
        <v>0</v>
      </c>
      <c r="H25" s="478">
        <f t="shared" si="8"/>
        <v>0</v>
      </c>
      <c r="I25" s="478">
        <f t="shared" si="9"/>
        <v>0</v>
      </c>
      <c r="J25" s="478">
        <f t="shared" si="10"/>
        <v>2.6783841485403448</v>
      </c>
      <c r="K25" s="478">
        <f t="shared" si="11"/>
        <v>0</v>
      </c>
      <c r="L25" s="478">
        <f t="shared" si="12"/>
        <v>0</v>
      </c>
      <c r="M25" s="478">
        <f t="shared" si="13"/>
        <v>0</v>
      </c>
      <c r="N25" s="478">
        <f t="shared" si="14"/>
        <v>0</v>
      </c>
      <c r="O25" s="478">
        <f t="shared" si="15"/>
        <v>0</v>
      </c>
      <c r="P25" s="479">
        <f t="shared" si="16"/>
        <v>0</v>
      </c>
      <c r="Q25" s="477">
        <f t="shared" ca="1" si="17"/>
        <v>1337.0767375860648</v>
      </c>
    </row>
    <row r="26" spans="1:17" s="483" customFormat="1">
      <c r="A26" s="481" t="s">
        <v>564</v>
      </c>
      <c r="B26" s="835">
        <f t="shared" ca="1" si="2"/>
        <v>12.31521491258586</v>
      </c>
      <c r="C26" s="482">
        <f t="shared" ca="1" si="3"/>
        <v>0</v>
      </c>
      <c r="D26" s="482">
        <f t="shared" si="4"/>
        <v>26.837057827205843</v>
      </c>
      <c r="E26" s="482">
        <f t="shared" si="5"/>
        <v>136.60727633402192</v>
      </c>
      <c r="F26" s="482">
        <f t="shared" si="6"/>
        <v>0</v>
      </c>
      <c r="G26" s="482">
        <f t="shared" si="7"/>
        <v>60475.736923686549</v>
      </c>
      <c r="H26" s="482">
        <f t="shared" si="8"/>
        <v>9158.6913446204107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69810.187817380778</v>
      </c>
    </row>
    <row r="27" spans="1:17">
      <c r="A27" s="477" t="s">
        <v>554</v>
      </c>
      <c r="B27" s="478">
        <f t="shared" ca="1" si="2"/>
        <v>0</v>
      </c>
      <c r="C27" s="478">
        <f t="shared" ca="1" si="3"/>
        <v>0</v>
      </c>
      <c r="D27" s="478">
        <f t="shared" si="4"/>
        <v>0</v>
      </c>
      <c r="E27" s="478">
        <f t="shared" si="5"/>
        <v>0</v>
      </c>
      <c r="F27" s="478">
        <f t="shared" si="6"/>
        <v>0</v>
      </c>
      <c r="G27" s="478">
        <f t="shared" si="7"/>
        <v>91.551142061990888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91.551142061990888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9613.7815561541975</v>
      </c>
      <c r="C31" s="488">
        <f t="shared" ca="1" si="18"/>
        <v>7333.1092436974805</v>
      </c>
      <c r="D31" s="488">
        <f t="shared" ca="1" si="18"/>
        <v>11891.965694893597</v>
      </c>
      <c r="E31" s="488">
        <f t="shared" si="18"/>
        <v>2122.7606079034081</v>
      </c>
      <c r="F31" s="488">
        <f t="shared" ca="1" si="18"/>
        <v>11936.117789175052</v>
      </c>
      <c r="G31" s="488">
        <f t="shared" si="18"/>
        <v>60567.288065748537</v>
      </c>
      <c r="H31" s="488">
        <f t="shared" si="18"/>
        <v>9158.6913446204107</v>
      </c>
      <c r="I31" s="488">
        <f t="shared" si="18"/>
        <v>0</v>
      </c>
      <c r="J31" s="488">
        <f t="shared" si="18"/>
        <v>854.36601822831528</v>
      </c>
      <c r="K31" s="488">
        <f t="shared" si="18"/>
        <v>0</v>
      </c>
      <c r="L31" s="488">
        <f t="shared" ca="1" si="18"/>
        <v>0</v>
      </c>
      <c r="M31" s="488">
        <f t="shared" si="18"/>
        <v>0</v>
      </c>
      <c r="N31" s="488">
        <f t="shared" ca="1" si="18"/>
        <v>0</v>
      </c>
      <c r="O31" s="488">
        <f t="shared" si="18"/>
        <v>0</v>
      </c>
      <c r="P31" s="489">
        <f t="shared" si="18"/>
        <v>0</v>
      </c>
      <c r="Q31" s="489">
        <f t="shared" ca="1" si="18"/>
        <v>113478.08032042101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0.21158897352070744</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0.21158897352070744</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0.21158897352070744</v>
      </c>
      <c r="C29" s="529">
        <f ca="1">'EF ele_warmte'!B22</f>
        <v>0.23764705882352949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2018-06-27T09:43:58Z</dcterms:modified>
</cp:coreProperties>
</file>