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B22" i="6"/>
  <c r="C10" i="17" s="1"/>
  <c r="C12" s="1"/>
  <c r="D48" i="14"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8" i="15"/>
  <c r="C20" s="1"/>
  <c r="D36" i="14" s="1"/>
  <c r="Q5" i="48"/>
  <c r="O13" i="14"/>
  <c r="O15" s="1"/>
  <c r="F22" i="16"/>
  <c r="G39" i="14" s="1"/>
  <c r="G41" s="1"/>
  <c r="N22" i="16"/>
  <c r="O39" i="14" s="1"/>
  <c r="O41" s="1"/>
  <c r="Q4" i="48"/>
  <c r="N22"/>
  <c r="R11" i="14"/>
  <c r="J21" i="48"/>
  <c r="R10" i="14"/>
  <c r="C20" i="16" l="1"/>
  <c r="C22" s="1"/>
  <c r="D39" i="14" s="1"/>
  <c r="K41"/>
  <c r="K53" s="1"/>
  <c r="K55" s="1"/>
  <c r="F8" i="48"/>
  <c r="F25" s="1"/>
  <c r="F31" s="1"/>
  <c r="C17" i="19"/>
  <c r="C19" s="1"/>
  <c r="D35" i="14" s="1"/>
  <c r="C29" i="20"/>
  <c r="C17" i="49"/>
  <c r="J8" i="48"/>
  <c r="J25" s="1"/>
  <c r="C56" i="22"/>
  <c r="C58" s="1"/>
  <c r="D44" i="14" s="1"/>
  <c r="D46"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F14"/>
  <c r="D41" i="14" l="1"/>
  <c r="D53" s="1"/>
  <c r="D55" s="1"/>
  <c r="R13"/>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<sst xmlns="http://schemas.openxmlformats.org/spreadsheetml/2006/main" count="2039" uniqueCount="868">
  <si>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</si>
  <si>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</si>
  <si>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</si>
  <si>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</si>
  <si>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</si>
  <si>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</si>
  <si>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</si>
  <si>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</si>
  <si>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</si>
  <si>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</si>
  <si>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</si>
  <si>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</si>
  <si>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</si>
  <si>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</si>
  <si>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</si>
  <si>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</si>
  <si>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</si>
  <si>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</si>
  <si>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</si>
  <si>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</si>
  <si>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</si>
  <si>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</si>
  <si>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</si>
  <si>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</si>
  <si>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</si>
  <si>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</si>
  <si>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</si>
  <si>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</si>
  <si>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</si>
  <si>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</si>
  <si>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</si>
  <si>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</si>
  <si>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</si>
  <si>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</si>
  <si>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</si>
  <si>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</si>
  <si>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</si>
  <si>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</si>
  <si>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</si>
  <si>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</si>
  <si>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</si>
  <si>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</si>
  <si>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</si>
  <si>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</si>
  <si>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</si>
  <si>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</si>
  <si>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</si>
  <si>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</si>
  <si>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</si>
  <si>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</si>
  <si>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</si>
  <si>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</si>
  <si>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</si>
  <si>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</si>
  <si>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</si>
  <si>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</si>
  <si>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</si>
  <si>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</si>
  <si>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</si>
  <si>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</si>
  <si>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</si>
  <si>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</si>
  <si>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</si>
  <si>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</si>
  <si>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</si>
  <si>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</si>
  <si>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</si>
  <si>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</si>
  <si>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</si>
  <si>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</si>
  <si>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</si>
  <si>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</si>
  <si>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</si>
  <si>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</si>
  <si>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</si>
  <si>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</si>
  <si>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</si>
  <si>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</si>
  <si>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</si>
  <si>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</si>
  <si>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</si>
  <si>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</si>
  <si>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</si>
  <si>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</si>
  <si>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</si>
  <si>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</si>
  <si>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</si>
  <si>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</si>
  <si>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</si>
  <si>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</si>
  <si>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</si>
  <si>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</si>
  <si>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</si>
  <si>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</si>
  <si>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</si>
  <si>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</si>
  <si>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</si>
  <si>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</si>
  <si>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</si>
  <si>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</si>
  <si>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</si>
  <si>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</si>
  <si>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</si>
  <si>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</si>
  <si>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</si>
  <si>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</si>
  <si>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</si>
  <si>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</si>
  <si>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</si>
  <si>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</si>
  <si>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</si>
  <si>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</si>
  <si>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</si>
  <si>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</si>
  <si>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</si>
  <si>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</si>
  <si>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</si>
  <si>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</si>
  <si>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</si>
  <si>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</si>
  <si>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</si>
  <si>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</si>
  <si>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</si>
  <si>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</si>
  <si>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</si>
  <si>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</si>
  <si>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</si>
  <si>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</si>
  <si>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</si>
  <si>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</si>
  <si>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</si>
  <si>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</si>
  <si>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</si>
  <si>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</si>
  <si>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</si>
  <si>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</si>
  <si>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</si>
  <si>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</si>
  <si>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</si>
  <si>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</si>
  <si>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</si>
  <si>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</si>
  <si>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</si>
  <si>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</si>
  <si>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</si>
  <si>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</si>
  <si>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</si>
  <si>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</si>
  <si>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</si>
  <si>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</si>
  <si>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</si>
  <si>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</si>
  <si>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</si>
  <si>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</si>
  <si>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</si>
  <si>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</si>
  <si>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</si>
  <si>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</si>
  <si>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</si>
  <si>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</si>
  <si>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</si>
  <si>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</si>
  <si>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</si>
  <si>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</si>
  <si>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</si>
  <si>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</si>
  <si>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</si>
  <si>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</si>
  <si>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</si>
  <si>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</si>
  <si>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</si>
  <si>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</si>
  <si>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</si>
  <si>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</si>
  <si>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</si>
  <si>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</si>
  <si>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</si>
  <si>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</si>
  <si>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</si>
  <si>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</si>
  <si>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</si>
  <si>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</si>
  <si>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</si>
  <si>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</si>
  <si>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</si>
  <si>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</si>
  <si>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</si>
  <si>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</si>
  <si>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</si>
  <si>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</si>
  <si>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</si>
  <si>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</si>
  <si>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</si>
  <si>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</si>
  <si>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</si>
  <si>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</si>
  <si>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</si>
  <si>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</si>
  <si>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</si>
  <si>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</si>
  <si>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</si>
  <si>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</si>
  <si>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</si>
  <si>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</si>
  <si>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</si>
  <si>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</si>
  <si>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</si>
  <si>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</si>
  <si>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</si>
  <si>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</si>
  <si>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</si>
  <si>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</si>
  <si>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</si>
  <si>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</si>
  <si>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</si>
  <si>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</si>
  <si>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</si>
  <si>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</si>
  <si>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</si>
  <si>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</si>
  <si>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</si>
  <si>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</si>
  <si>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</si>
  <si>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</si>
  <si>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</si>
  <si>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</si>
  <si>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</si>
  <si>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</si>
  <si>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</si>
  <si>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</si>
  <si>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</si>
  <si>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</si>
  <si>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</si>
  <si>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</si>
  <si>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</si>
  <si>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</si>
  <si>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</si>
  <si>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</si>
  <si>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</si>
  <si>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</si>
  <si>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</si>
  <si>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</si>
  <si>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</si>
  <si>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</si>
  <si>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</si>
  <si>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</si>
  <si>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</si>
  <si>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</si>
  <si>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</si>
  <si>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</si>
  <si>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</si>
  <si>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</si>
  <si>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</si>
  <si>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</si>
  <si>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</si>
  <si>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</si>
  <si>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</si>
  <si>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</si>
  <si>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</si>
  <si>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</si>
  <si>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</si>
  <si>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</si>
  <si>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</si>
  <si>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</si>
  <si>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</si>
  <si>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</si>
  <si>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</si>
  <si>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</si>
  <si>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</si>
  <si>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</si>
  <si>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</si>
  <si>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</si>
  <si>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</si>
  <si>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</si>
  <si>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</si>
  <si>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</si>
  <si>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</si>
  <si>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</si>
  <si>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</si>
  <si>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</si>
  <si>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</si>
  <si>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</si>
  <si>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</si>
  <si>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</si>
  <si>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</si>
  <si>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</si>
  <si>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</si>
  <si>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</si>
  <si>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</si>
  <si>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</si>
  <si>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</si>
  <si>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</si>
  <si>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</si>
  <si>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</si>
  <si>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</si>
  <si>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</si>
  <si>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</si>
  <si>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</si>
  <si>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</si>
  <si>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</si>
  <si>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</si>
  <si>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</si>
  <si>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</si>
  <si>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</si>
  <si>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</si>
  <si>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</si>
  <si>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</si>
  <si>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</si>
  <si>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</si>
  <si>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</si>
  <si>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</si>
  <si>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</si>
  <si>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</si>
  <si>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</si>
  <si>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</si>
  <si>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</si>
  <si>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</si>
  <si>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</si>
  <si>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</si>
  <si>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</si>
  <si>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</si>
  <si>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</si>
  <si>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</si>
  <si>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</si>
  <si>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</si>
  <si>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</si>
  <si>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</si>
  <si>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</si>
  <si>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</si>
  <si>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</si>
  <si>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</si>
  <si>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</si>
  <si>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</si>
  <si>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</si>
  <si>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</si>
  <si>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</si>
  <si>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</si>
  <si>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</si>
  <si>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</si>
  <si>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</si>
  <si>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</si>
  <si>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</si>
  <si>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</si>
  <si>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</si>
  <si>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</si>
  <si>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</si>
  <si>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</si>
  <si>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</si>
  <si>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</si>
  <si>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</si>
  <si>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</si>
  <si>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</si>
  <si>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</si>
  <si>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</si>
  <si>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</si>
  <si>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</si>
  <si>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</si>
  <si>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</si>
  <si>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</si>
  <si>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</si>
  <si>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</si>
  <si>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</si>
  <si>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</si>
  <si>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</si>
  <si>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</si>
  <si>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</si>
  <si>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</si>
  <si>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</si>
  <si>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</si>
  <si>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</si>
  <si>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</si>
  <si>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</si>
  <si>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</si>
  <si>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</si>
  <si>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</si>
  <si>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</si>
  <si>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</si>
  <si>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</si>
  <si>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</si>
  <si>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</si>
  <si>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</si>
  <si>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</si>
  <si>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</si>
  <si>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</si>
  <si>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</si>
  <si>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</si>
  <si>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</si>
  <si>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</si>
  <si>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</si>
  <si>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</si>
  <si>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</si>
  <si>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</si>
  <si>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</si>
  <si>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</si>
  <si>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</si>
  <si>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</si>
  <si>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</si>
  <si>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</si>
  <si>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</si>
  <si>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</si>
  <si>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</si>
  <si>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</si>
  <si>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</si>
  <si>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</si>
  <si>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</si>
  <si>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</si>
  <si>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</si>
  <si>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</si>
  <si>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</si>
  <si>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</si>
  <si>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</si>
  <si>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</si>
  <si>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</si>
  <si>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</si>
  <si>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</si>
  <si>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</si>
  <si>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</si>
  <si>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</si>
  <si>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</si>
  <si>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</si>
  <si>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</si>
  <si>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</si>
  <si>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</si>
  <si>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</si>
  <si>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</si>
  <si>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</si>
  <si>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</si>
  <si>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</si>
  <si>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</si>
  <si>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</si>
  <si>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</si>
  <si>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</si>
  <si>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</si>
  <si>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</si>
  <si>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</si>
  <si>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</si>
  <si>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</si>
  <si>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</si>
  <si>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</si>
  <si>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</si>
  <si>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</si>
  <si>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</si>
  <si>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</si>
  <si>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</si>
  <si>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</si>
  <si>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</si>
  <si>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</si>
  <si>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</si>
  <si>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</si>
  <si>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</si>
  <si>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</si>
  <si>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</si>
  <si>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</si>
  <si>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</si>
  <si>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</si>
  <si>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</si>
  <si>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</si>
  <si>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</si>
  <si>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</si>
  <si>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</si>
  <si>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</si>
  <si>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</si>
  <si>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</si>
  <si>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</si>
  <si>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</si>
  <si>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</si>
  <si>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</si>
  <si>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</si>
  <si>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</si>
  <si>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</si>
  <si>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</si>
  <si>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</si>
  <si>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</si>
  <si>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</si>
  <si>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</si>
  <si>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</si>
  <si>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</si>
  <si>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</si>
  <si>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</si>
  <si>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</si>
  <si>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</si>
  <si>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</si>
  <si>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</si>
  <si>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</si>
  <si>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</si>
  <si>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</si>
  <si>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</si>
  <si>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</si>
  <si>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</si>
  <si>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</si>
  <si>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</si>
  <si>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</si>
  <si>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</si>
  <si>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</si>
  <si>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</si>
  <si>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</si>
  <si>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</si>
  <si>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</si>
  <si>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</si>
  <si>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</si>
  <si>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</si>
  <si>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</si>
  <si>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</si>
  <si>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</si>
  <si>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</si>
  <si>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</si>
  <si>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</si>
  <si>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</si>
  <si>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</si>
  <si>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</si>
  <si>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</si>
  <si>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</si>
  <si>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</si>
  <si>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</si>
  <si>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</si>
  <si>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</si>
  <si>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</si>
  <si>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</si>
  <si>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</si>
  <si>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</si>
  <si>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</si>
  <si>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</si>
  <si>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</si>
  <si>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</si>
  <si>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</si>
  <si>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</si>
  <si>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</si>
  <si>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</si>
  <si>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</si>
  <si>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</si>
  <si>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</si>
  <si>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</si>
  <si>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</si>
  <si>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</si>
  <si>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</si>
  <si>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</si>
  <si>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</si>
  <si>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</si>
  <si>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</si>
  <si>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</si>
  <si>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</si>
  <si>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</si>
  <si>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</si>
  <si>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</si>
  <si>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</si>
  <si>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</si>
  <si>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</si>
  <si>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</si>
  <si>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</si>
  <si>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</si>
  <si>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</si>
  <si>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</si>
  <si>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</si>
  <si>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</si>
  <si>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</si>
  <si>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</si>
  <si>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</si>
  <si>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</si>
  <si>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</si>
  <si>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</si>
  <si>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</si>
  <si>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</si>
  <si>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</si>
  <si>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</si>
  <si>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</si>
  <si>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</si>
  <si>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</si>
  <si>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</si>
  <si>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</si>
  <si>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</si>
  <si>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</si>
  <si>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</si>
  <si>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</si>
  <si>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</si>
  <si>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</si>
  <si>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</si>
  <si>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</si>
  <si>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</si>
  <si>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</si>
  <si>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</si>
  <si>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</si>
  <si>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</si>
  <si>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</si>
  <si>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</si>
  <si>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</si>
  <si>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</si>
  <si>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</si>
  <si>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</si>
  <si>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</si>
  <si>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</si>
  <si>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</si>
  <si>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</si>
  <si>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</si>
  <si>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</si>
  <si>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</si>
  <si>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</si>
  <si>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</si>
  <si>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</si>
  <si>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</si>
  <si>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</si>
  <si>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</si>
  <si>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</si>
  <si>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</si>
  <si>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</si>
  <si>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</si>
  <si>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</si>
  <si>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</si>
  <si>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</si>
  <si>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</si>
  <si>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</si>
  <si>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</si>
  <si>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</si>
  <si>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</si>
  <si>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</si>
  <si>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</si>
  <si>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</si>
  <si>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</si>
  <si>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</si>
  <si>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</si>
  <si>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</si>
  <si>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</si>
  <si>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</si>
  <si>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</si>
  <si>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</si>
  <si>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</si>
  <si>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</si>
  <si>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</si>
  <si>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</si>
  <si>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</si>
  <si>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</si>
  <si>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</si>
  <si>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</si>
  <si>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</si>
  <si>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</si>
  <si>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</si>
  <si>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</si>
  <si>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</si>
  <si>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</si>
  <si>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</si>
  <si>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</si>
  <si>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</si>
  <si>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</si>
  <si>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</si>
  <si>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</si>
  <si>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</si>
  <si>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</si>
  <si>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</si>
  <si>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</si>
  <si>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</si>
  <si>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</si>
  <si>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</si>
  <si>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</si>
  <si>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</si>
  <si>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</si>
  <si>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</si>
  <si>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</si>
  <si>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</si>
  <si>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</si>
  <si>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</si>
  <si>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</si>
  <si>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</si>
  <si>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</si>
  <si>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</si>
  <si>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</si>
  <si>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</si>
  <si>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</si>
  <si>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</si>
  <si>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</si>
  <si>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</si>
  <si>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</si>
  <si>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</si>
  <si>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</si>
  <si>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</si>
  <si>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</si>
  <si>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</si>
  <si>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</si>
  <si>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</si>
  <si>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</si>
  <si>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</si>
  <si>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</si>
  <si>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</si>
  <si>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</si>
  <si>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</si>
  <si>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</si>
  <si>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</si>
  <si>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</si>
  <si>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</si>
  <si>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</si>
  <si>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</si>
  <si>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</si>
  <si>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</si>
  <si>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</si>
  <si>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</si>
  <si>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</si>
  <si>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</si>
  <si>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</si>
  <si>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</si>
  <si>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</si>
  <si>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</si>
  <si>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</si>
  <si>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</si>
  <si>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</si>
  <si>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</si>
  <si>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</si>
  <si>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</si>
  <si>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</si>
  <si>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</si>
  <si>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</si>
  <si>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</si>
  <si>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</si>
  <si>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</si>
  <si>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</si>
  <si>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</si>
  <si>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</si>
  <si>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</si>
  <si>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</si>
  <si>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</si>
  <si>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</si>
  <si>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</si>
  <si>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</si>
  <si>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</si>
  <si>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</si>
  <si>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</si>
  <si>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</si>
  <si>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</si>
  <si>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</si>
  <si>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</si>
  <si>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</si>
  <si>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</si>
  <si>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</si>
  <si>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</si>
  <si>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</si>
  <si>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</si>
  <si>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</si>
  <si>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</si>
  <si>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</si>
  <si>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</si>
  <si>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</si>
  <si>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</si>
  <si>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</si>
  <si>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</si>
  <si>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</si>
  <si>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</si>
  <si>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</si>
  <si>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</si>
  <si>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</si>
  <si>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</si>
  <si>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</si>
  <si>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</si>
  <si>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</si>
  <si>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</si>
  <si>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</si>
  <si>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</si>
  <si>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</si>
  <si>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</si>
  <si>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</si>
  <si>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</si>
  <si>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</si>
  <si>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</si>
  <si>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</si>
  <si>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</si>
  <si>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</si>
  <si>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</si>
  <si>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</si>
  <si>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</si>
  <si>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</si>
  <si>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</si>
  <si>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</si>
  <si>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</si>
  <si>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</si>
  <si>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</si>
  <si>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</si>
  <si>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</si>
  <si>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</si>
  <si>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</si>
  <si>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</si>
  <si>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</si>
  <si>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</si>
  <si>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</si>
  <si>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</si>
  <si>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</si>
  <si>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</si>
  <si>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</si>
  <si>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</si>
  <si>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</si>
  <si>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</si>
  <si>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</si>
  <si>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</si>
  <si>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</si>
  <si>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</si>
  <si>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</si>
  <si>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</si>
  <si>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</si>
  <si>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</si>
  <si>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</si>
  <si>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</si>
  <si>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</si>
  <si>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</si>
  <si>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</si>
  <si>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</si>
  <si>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</si>
  <si>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</si>
  <si>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</si>
  <si>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</si>
  <si>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</si>
  <si>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</si>
  <si>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</si>
  <si>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</si>
  <si>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</si>
  <si>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</si>
  <si>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44021</t>
  </si>
  <si>
    <t>GENT</t>
  </si>
  <si>
    <t>Paarden&amp;pony's 200 - 600 kg</t>
  </si>
  <si>
    <t>Paarden&amp;pony's &lt; 200 kg</t>
  </si>
  <si>
    <t>referentietaak LNE (2017); Jaarverslag De Lijn (2015)</t>
  </si>
  <si>
    <t>op basis van VEA (maart 2018) en Inventaris Hernieuwbare Energiebronnen (juni 2018)</t>
  </si>
  <si>
    <t>VEA (januari 2017)</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</si>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</sst>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1538466.8528561655</c:v>
                </c:pt>
                <c:pt idx="1">
                  <c:v>1745057.9121168416</c:v>
                </c:pt>
                <c:pt idx="2">
                  <c:v>14103.357402000001</c:v>
                </c:pt>
                <c:pt idx="3">
                  <c:v>108942.32149514256</c:v>
                </c:pt>
                <c:pt idx="4">
                  <c:v>826971.35530831281</c:v>
                </c:pt>
                <c:pt idx="5">
                  <c:v>2078628.4335104495</c:v>
                </c:pt>
                <c:pt idx="6">
                  <c:v>47696.025893592996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1538466.8528561655</c:v>
                </c:pt>
                <c:pt idx="1">
                  <c:v>1745057.9121168416</c:v>
                </c:pt>
                <c:pt idx="2">
                  <c:v>14103.357402000001</c:v>
                </c:pt>
                <c:pt idx="3">
                  <c:v>108942.32149514256</c:v>
                </c:pt>
                <c:pt idx="4">
                  <c:v>826971.35530831281</c:v>
                </c:pt>
                <c:pt idx="5">
                  <c:v>2078628.4335104495</c:v>
                </c:pt>
                <c:pt idx="6">
                  <c:v>47696.025893592996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291910.20328225079</c:v>
                </c:pt>
                <c:pt idx="1">
                  <c:v>352424.87373318634</c:v>
                </c:pt>
                <c:pt idx="2">
                  <c:v>2759.4273511424699</c:v>
                </c:pt>
                <c:pt idx="3">
                  <c:v>22990.937978449281</c:v>
                </c:pt>
                <c:pt idx="4">
                  <c:v>154867.27116603669</c:v>
                </c:pt>
                <c:pt idx="5">
                  <c:v>532760.93653020181</c:v>
                </c:pt>
                <c:pt idx="6">
                  <c:v>11765.960058792925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291910.20328225079</c:v>
                </c:pt>
                <c:pt idx="1">
                  <c:v>352424.87373318634</c:v>
                </c:pt>
                <c:pt idx="2">
                  <c:v>2759.4273511424699</c:v>
                </c:pt>
                <c:pt idx="3">
                  <c:v>22990.937978449281</c:v>
                </c:pt>
                <c:pt idx="4">
                  <c:v>154867.27116603669</c:v>
                </c:pt>
                <c:pt idx="5">
                  <c:v>532760.93653020181</c:v>
                </c:pt>
                <c:pt idx="6">
                  <c:v>11765.960058792925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117505</v>
      </c>
      <c r="C9" s="342">
        <v>123757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3101.93</v>
      </c>
    </row>
    <row r="15" spans="1:6">
      <c r="A15" s="348" t="s">
        <v>184</v>
      </c>
      <c r="B15" s="334">
        <v>38</v>
      </c>
    </row>
    <row r="16" spans="1:6">
      <c r="A16" s="348" t="s">
        <v>6</v>
      </c>
      <c r="B16" s="334">
        <v>1397</v>
      </c>
    </row>
    <row r="17" spans="1:6">
      <c r="A17" s="348" t="s">
        <v>7</v>
      </c>
      <c r="B17" s="334">
        <v>914</v>
      </c>
    </row>
    <row r="18" spans="1:6">
      <c r="A18" s="348" t="s">
        <v>8</v>
      </c>
      <c r="B18" s="334">
        <v>1397</v>
      </c>
    </row>
    <row r="19" spans="1:6">
      <c r="A19" s="348" t="s">
        <v>9</v>
      </c>
      <c r="B19" s="334">
        <v>1255</v>
      </c>
    </row>
    <row r="20" spans="1:6">
      <c r="A20" s="348" t="s">
        <v>10</v>
      </c>
      <c r="B20" s="334">
        <v>896</v>
      </c>
    </row>
    <row r="21" spans="1:6">
      <c r="A21" s="348" t="s">
        <v>11</v>
      </c>
      <c r="B21" s="334">
        <v>1156</v>
      </c>
    </row>
    <row r="22" spans="1:6">
      <c r="A22" s="348" t="s">
        <v>12</v>
      </c>
      <c r="B22" s="334">
        <v>3109</v>
      </c>
    </row>
    <row r="23" spans="1:6">
      <c r="A23" s="348" t="s">
        <v>13</v>
      </c>
      <c r="B23" s="334">
        <v>32</v>
      </c>
    </row>
    <row r="24" spans="1:6">
      <c r="A24" s="348" t="s">
        <v>14</v>
      </c>
      <c r="B24" s="334">
        <v>4</v>
      </c>
    </row>
    <row r="25" spans="1:6">
      <c r="A25" s="348" t="s">
        <v>15</v>
      </c>
      <c r="B25" s="334">
        <v>340</v>
      </c>
    </row>
    <row r="26" spans="1:6">
      <c r="A26" s="348" t="s">
        <v>16</v>
      </c>
      <c r="B26" s="334">
        <v>378</v>
      </c>
    </row>
    <row r="27" spans="1:6">
      <c r="A27" s="348" t="s">
        <v>17</v>
      </c>
      <c r="B27" s="334">
        <v>11</v>
      </c>
    </row>
    <row r="28" spans="1:6" s="356" customFormat="1">
      <c r="A28" s="355" t="s">
        <v>18</v>
      </c>
      <c r="B28" s="355">
        <v>3</v>
      </c>
    </row>
    <row r="29" spans="1:6">
      <c r="A29" s="355" t="s">
        <v>812</v>
      </c>
      <c r="B29" s="355">
        <v>501</v>
      </c>
      <c r="C29" s="356"/>
      <c r="D29" s="356"/>
      <c r="E29" s="356"/>
      <c r="F29" s="356"/>
    </row>
    <row r="30" spans="1:6">
      <c r="A30" s="355" t="s">
        <v>813</v>
      </c>
      <c r="B30" s="341">
        <v>99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11</v>
      </c>
      <c r="F35" s="334">
        <v>113614.90618000001</v>
      </c>
    </row>
    <row r="36" spans="1:6">
      <c r="A36" s="348" t="s">
        <v>25</v>
      </c>
      <c r="B36" s="348" t="s">
        <v>27</v>
      </c>
      <c r="C36" s="334">
        <v>10</v>
      </c>
      <c r="D36" s="334">
        <v>1207972.5563000001</v>
      </c>
      <c r="E36" s="334">
        <v>56</v>
      </c>
      <c r="F36" s="334">
        <v>2249765.4394</v>
      </c>
    </row>
    <row r="37" spans="1:6">
      <c r="A37" s="348" t="s">
        <v>25</v>
      </c>
      <c r="B37" s="348" t="s">
        <v>28</v>
      </c>
      <c r="C37" s="334">
        <v>0</v>
      </c>
      <c r="D37" s="334">
        <v>0</v>
      </c>
      <c r="E37" s="334">
        <v>0</v>
      </c>
      <c r="F37" s="334">
        <v>0</v>
      </c>
    </row>
    <row r="38" spans="1:6">
      <c r="A38" s="348" t="s">
        <v>25</v>
      </c>
      <c r="B38" s="348" t="s">
        <v>29</v>
      </c>
      <c r="C38" s="334">
        <v>9</v>
      </c>
      <c r="D38" s="334">
        <v>3549558.5765999998</v>
      </c>
      <c r="E38" s="334">
        <v>17</v>
      </c>
      <c r="F38" s="334">
        <v>1275020.9502000001</v>
      </c>
    </row>
    <row r="39" spans="1:6">
      <c r="A39" s="348" t="s">
        <v>30</v>
      </c>
      <c r="B39" s="348" t="s">
        <v>31</v>
      </c>
      <c r="C39" s="334">
        <v>88374</v>
      </c>
      <c r="D39" s="334">
        <v>1169523614.434196</v>
      </c>
      <c r="E39" s="334">
        <v>116008</v>
      </c>
      <c r="F39" s="334">
        <v>353450910.59892404</v>
      </c>
    </row>
    <row r="40" spans="1:6">
      <c r="A40" s="348" t="s">
        <v>30</v>
      </c>
      <c r="B40" s="348" t="s">
        <v>29</v>
      </c>
      <c r="C40" s="334">
        <v>1</v>
      </c>
      <c r="D40" s="334">
        <v>12400.132374999999</v>
      </c>
      <c r="E40" s="334">
        <v>1</v>
      </c>
      <c r="F40" s="334">
        <v>2073.8708569999999</v>
      </c>
    </row>
    <row r="41" spans="1:6">
      <c r="A41" s="348" t="s">
        <v>32</v>
      </c>
      <c r="B41" s="348" t="s">
        <v>33</v>
      </c>
      <c r="C41" s="334">
        <v>935</v>
      </c>
      <c r="D41" s="334">
        <v>23226396.534000002</v>
      </c>
      <c r="E41" s="334">
        <v>1664</v>
      </c>
      <c r="F41" s="334">
        <v>22221460.287</v>
      </c>
    </row>
    <row r="42" spans="1:6">
      <c r="A42" s="348" t="s">
        <v>32</v>
      </c>
      <c r="B42" s="348" t="s">
        <v>34</v>
      </c>
      <c r="C42" s="334">
        <v>14</v>
      </c>
      <c r="D42" s="334">
        <v>45599425.718999997</v>
      </c>
      <c r="E42" s="334">
        <v>21</v>
      </c>
      <c r="F42" s="334">
        <v>31088187.419</v>
      </c>
    </row>
    <row r="43" spans="1:6">
      <c r="A43" s="348" t="s">
        <v>32</v>
      </c>
      <c r="B43" s="348" t="s">
        <v>35</v>
      </c>
      <c r="C43" s="334">
        <v>0</v>
      </c>
      <c r="D43" s="334">
        <v>0</v>
      </c>
      <c r="E43" s="334">
        <v>0</v>
      </c>
      <c r="F43" s="334">
        <v>0</v>
      </c>
    </row>
    <row r="44" spans="1:6">
      <c r="A44" s="348" t="s">
        <v>32</v>
      </c>
      <c r="B44" s="348" t="s">
        <v>36</v>
      </c>
      <c r="C44" s="334">
        <v>30</v>
      </c>
      <c r="D44" s="334">
        <v>13279380.669</v>
      </c>
      <c r="E44" s="334">
        <v>169</v>
      </c>
      <c r="F44" s="334">
        <v>30351738.021000002</v>
      </c>
    </row>
    <row r="45" spans="1:6">
      <c r="A45" s="348" t="s">
        <v>32</v>
      </c>
      <c r="B45" s="348" t="s">
        <v>37</v>
      </c>
      <c r="C45" s="334">
        <v>3</v>
      </c>
      <c r="D45" s="334">
        <v>154607.88787000001</v>
      </c>
      <c r="E45" s="334">
        <v>31</v>
      </c>
      <c r="F45" s="334">
        <v>67959164.656000003</v>
      </c>
    </row>
    <row r="46" spans="1:6">
      <c r="A46" s="348" t="s">
        <v>32</v>
      </c>
      <c r="B46" s="348" t="s">
        <v>38</v>
      </c>
      <c r="C46" s="334">
        <v>0</v>
      </c>
      <c r="D46" s="334">
        <v>0</v>
      </c>
      <c r="E46" s="334">
        <v>0</v>
      </c>
      <c r="F46" s="334">
        <v>0</v>
      </c>
    </row>
    <row r="47" spans="1:6">
      <c r="A47" s="348" t="s">
        <v>32</v>
      </c>
      <c r="B47" s="348" t="s">
        <v>39</v>
      </c>
      <c r="C47" s="334">
        <v>74</v>
      </c>
      <c r="D47" s="334">
        <v>3427032.6690000002</v>
      </c>
      <c r="E47" s="334">
        <v>111</v>
      </c>
      <c r="F47" s="334">
        <v>15014520.619000001</v>
      </c>
    </row>
    <row r="48" spans="1:6">
      <c r="A48" s="348" t="s">
        <v>32</v>
      </c>
      <c r="B48" s="348" t="s">
        <v>29</v>
      </c>
      <c r="C48" s="334">
        <v>276</v>
      </c>
      <c r="D48" s="334">
        <v>227152623.59999999</v>
      </c>
      <c r="E48" s="334">
        <v>345</v>
      </c>
      <c r="F48" s="334">
        <v>168207255.59999999</v>
      </c>
    </row>
    <row r="49" spans="1:6">
      <c r="A49" s="348" t="s">
        <v>32</v>
      </c>
      <c r="B49" s="348" t="s">
        <v>40</v>
      </c>
      <c r="C49" s="334">
        <v>22</v>
      </c>
      <c r="D49" s="334">
        <v>389612.23719000001</v>
      </c>
      <c r="E49" s="334">
        <v>28</v>
      </c>
      <c r="F49" s="334">
        <v>300176.90016999998</v>
      </c>
    </row>
    <row r="50" spans="1:6">
      <c r="A50" s="348" t="s">
        <v>32</v>
      </c>
      <c r="B50" s="348" t="s">
        <v>41</v>
      </c>
      <c r="C50" s="334">
        <v>132</v>
      </c>
      <c r="D50" s="334">
        <v>9696984.6161000002</v>
      </c>
      <c r="E50" s="334">
        <v>200</v>
      </c>
      <c r="F50" s="334">
        <v>9026662.5579000004</v>
      </c>
    </row>
    <row r="51" spans="1:6">
      <c r="A51" s="348" t="s">
        <v>42</v>
      </c>
      <c r="B51" s="348" t="s">
        <v>43</v>
      </c>
      <c r="C51" s="334">
        <v>82</v>
      </c>
      <c r="D51" s="334">
        <v>4070048.1850000001</v>
      </c>
      <c r="E51" s="334">
        <v>239</v>
      </c>
      <c r="F51" s="334">
        <v>2552817.3498999998</v>
      </c>
    </row>
    <row r="52" spans="1:6">
      <c r="A52" s="348" t="s">
        <v>42</v>
      </c>
      <c r="B52" s="348" t="s">
        <v>29</v>
      </c>
      <c r="C52" s="334">
        <v>27</v>
      </c>
      <c r="D52" s="334">
        <v>2355777.9759</v>
      </c>
      <c r="E52" s="334">
        <v>61</v>
      </c>
      <c r="F52" s="334">
        <v>1327001.3356000001</v>
      </c>
    </row>
    <row r="53" spans="1:6">
      <c r="A53" s="348" t="s">
        <v>44</v>
      </c>
      <c r="B53" s="348" t="s">
        <v>45</v>
      </c>
      <c r="C53" s="334">
        <v>3909</v>
      </c>
      <c r="D53" s="334">
        <v>93599040.630999997</v>
      </c>
      <c r="E53" s="334">
        <v>6907</v>
      </c>
      <c r="F53" s="334">
        <v>24605582.749000002</v>
      </c>
    </row>
    <row r="54" spans="1:6">
      <c r="A54" s="348" t="s">
        <v>46</v>
      </c>
      <c r="B54" s="348" t="s">
        <v>47</v>
      </c>
      <c r="C54" s="334">
        <v>0</v>
      </c>
      <c r="D54" s="334">
        <v>0</v>
      </c>
      <c r="E54" s="334">
        <v>13</v>
      </c>
      <c r="F54" s="334">
        <v>14103357.402000001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922</v>
      </c>
      <c r="D57" s="334">
        <v>48315499.681000002</v>
      </c>
      <c r="E57" s="334">
        <v>1436</v>
      </c>
      <c r="F57" s="334">
        <v>46646833.425999999</v>
      </c>
    </row>
    <row r="58" spans="1:6">
      <c r="A58" s="348" t="s">
        <v>49</v>
      </c>
      <c r="B58" s="348" t="s">
        <v>51</v>
      </c>
      <c r="C58" s="334">
        <v>800</v>
      </c>
      <c r="D58" s="334">
        <v>103866128.5</v>
      </c>
      <c r="E58" s="334">
        <v>1079</v>
      </c>
      <c r="F58" s="334">
        <v>99698340.562000006</v>
      </c>
    </row>
    <row r="59" spans="1:6">
      <c r="A59" s="348" t="s">
        <v>49</v>
      </c>
      <c r="B59" s="348" t="s">
        <v>52</v>
      </c>
      <c r="C59" s="334">
        <v>1982</v>
      </c>
      <c r="D59" s="334">
        <v>80885609.633000001</v>
      </c>
      <c r="E59" s="334">
        <v>3440</v>
      </c>
      <c r="F59" s="334">
        <v>157942706.03999999</v>
      </c>
    </row>
    <row r="60" spans="1:6">
      <c r="A60" s="348" t="s">
        <v>49</v>
      </c>
      <c r="B60" s="348" t="s">
        <v>53</v>
      </c>
      <c r="C60" s="334">
        <v>1398</v>
      </c>
      <c r="D60" s="334">
        <v>88810318.673999995</v>
      </c>
      <c r="E60" s="334">
        <v>1746</v>
      </c>
      <c r="F60" s="334">
        <v>53994054.541000001</v>
      </c>
    </row>
    <row r="61" spans="1:6">
      <c r="A61" s="348" t="s">
        <v>49</v>
      </c>
      <c r="B61" s="348" t="s">
        <v>54</v>
      </c>
      <c r="C61" s="334">
        <v>4878</v>
      </c>
      <c r="D61" s="334">
        <v>283542193.19</v>
      </c>
      <c r="E61" s="334">
        <v>9162</v>
      </c>
      <c r="F61" s="334">
        <v>179193430.44</v>
      </c>
    </row>
    <row r="62" spans="1:6">
      <c r="A62" s="348" t="s">
        <v>49</v>
      </c>
      <c r="B62" s="348" t="s">
        <v>55</v>
      </c>
      <c r="C62" s="334">
        <v>551</v>
      </c>
      <c r="D62" s="334">
        <v>164943459.91999999</v>
      </c>
      <c r="E62" s="334">
        <v>858</v>
      </c>
      <c r="F62" s="334">
        <v>97720671.991999999</v>
      </c>
    </row>
    <row r="63" spans="1:6">
      <c r="A63" s="348" t="s">
        <v>49</v>
      </c>
      <c r="B63" s="348" t="s">
        <v>29</v>
      </c>
      <c r="C63" s="334">
        <v>832</v>
      </c>
      <c r="D63" s="334">
        <v>108577534.43000001</v>
      </c>
      <c r="E63" s="334">
        <v>892</v>
      </c>
      <c r="F63" s="334">
        <v>71657506.677000001</v>
      </c>
    </row>
    <row r="64" spans="1:6">
      <c r="A64" s="348" t="s">
        <v>56</v>
      </c>
      <c r="B64" s="348" t="s">
        <v>57</v>
      </c>
      <c r="C64" s="334">
        <v>0</v>
      </c>
      <c r="D64" s="334">
        <v>0</v>
      </c>
      <c r="E64" s="334">
        <v>0</v>
      </c>
      <c r="F64" s="334">
        <v>0</v>
      </c>
    </row>
    <row r="65" spans="1:6">
      <c r="A65" s="348" t="s">
        <v>56</v>
      </c>
      <c r="B65" s="348" t="s">
        <v>29</v>
      </c>
      <c r="C65" s="334">
        <v>29</v>
      </c>
      <c r="D65" s="334">
        <v>1644618.9208</v>
      </c>
      <c r="E65" s="334">
        <v>26</v>
      </c>
      <c r="F65" s="334">
        <v>669208.14919999999</v>
      </c>
    </row>
    <row r="66" spans="1:6">
      <c r="A66" s="348" t="s">
        <v>56</v>
      </c>
      <c r="B66" s="348" t="s">
        <v>58</v>
      </c>
      <c r="C66" s="334">
        <v>3</v>
      </c>
      <c r="D66" s="334">
        <v>2645702.2058000001</v>
      </c>
      <c r="E66" s="334">
        <v>152</v>
      </c>
      <c r="F66" s="334">
        <v>8775119.9826999996</v>
      </c>
    </row>
    <row r="67" spans="1:6">
      <c r="A67" s="355" t="s">
        <v>56</v>
      </c>
      <c r="B67" s="355" t="s">
        <v>59</v>
      </c>
      <c r="C67" s="334">
        <v>0</v>
      </c>
      <c r="D67" s="334">
        <v>0</v>
      </c>
      <c r="E67" s="334">
        <v>0</v>
      </c>
      <c r="F67" s="334">
        <v>0</v>
      </c>
    </row>
    <row r="68" spans="1:6">
      <c r="A68" s="341" t="s">
        <v>56</v>
      </c>
      <c r="B68" s="341" t="s">
        <v>60</v>
      </c>
      <c r="C68" s="334">
        <v>38</v>
      </c>
      <c r="D68" s="334">
        <v>2902471.5175000001</v>
      </c>
      <c r="E68" s="334">
        <v>124</v>
      </c>
      <c r="F68" s="334">
        <v>12853846.545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583400641</v>
      </c>
      <c r="E73" s="476">
        <v>578079962.54652369</v>
      </c>
    </row>
    <row r="74" spans="1:6">
      <c r="A74" s="348" t="s">
        <v>64</v>
      </c>
      <c r="B74" s="348" t="s">
        <v>667</v>
      </c>
      <c r="C74" s="1212" t="s">
        <v>669</v>
      </c>
      <c r="D74" s="476">
        <v>84626223.447314486</v>
      </c>
      <c r="E74" s="476">
        <v>83805662.525545672</v>
      </c>
    </row>
    <row r="75" spans="1:6">
      <c r="A75" s="348" t="s">
        <v>65</v>
      </c>
      <c r="B75" s="348" t="s">
        <v>666</v>
      </c>
      <c r="C75" s="1212" t="s">
        <v>670</v>
      </c>
      <c r="D75" s="476">
        <v>358904642</v>
      </c>
      <c r="E75" s="476">
        <v>354211076.14638919</v>
      </c>
    </row>
    <row r="76" spans="1:6">
      <c r="A76" s="348" t="s">
        <v>65</v>
      </c>
      <c r="B76" s="348" t="s">
        <v>667</v>
      </c>
      <c r="C76" s="1212" t="s">
        <v>671</v>
      </c>
      <c r="D76" s="476">
        <v>27621063.44731449</v>
      </c>
      <c r="E76" s="476">
        <v>24505526.076054547</v>
      </c>
    </row>
    <row r="77" spans="1:6">
      <c r="A77" s="348" t="s">
        <v>66</v>
      </c>
      <c r="B77" s="348" t="s">
        <v>666</v>
      </c>
      <c r="C77" s="1212" t="s">
        <v>672</v>
      </c>
      <c r="D77" s="476">
        <v>985543292</v>
      </c>
      <c r="E77" s="476">
        <v>1033815157.3914365</v>
      </c>
    </row>
    <row r="78" spans="1:6">
      <c r="A78" s="341" t="s">
        <v>66</v>
      </c>
      <c r="B78" s="341" t="s">
        <v>667</v>
      </c>
      <c r="C78" s="341" t="s">
        <v>673</v>
      </c>
      <c r="D78" s="1213">
        <v>160732952</v>
      </c>
      <c r="E78" s="1213">
        <v>165350484.5809049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10325487.105371019</v>
      </c>
      <c r="C83" s="476">
        <v>10325487.105371019</v>
      </c>
    </row>
    <row r="84" spans="1:6">
      <c r="A84" s="341" t="s">
        <v>337</v>
      </c>
      <c r="B84" s="1213">
        <v>2624738.0339463553</v>
      </c>
      <c r="C84" s="1213">
        <v>2624738.0339463553</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105030.72742600438</v>
      </c>
    </row>
    <row r="91" spans="1:6">
      <c r="A91" s="348" t="s">
        <v>68</v>
      </c>
      <c r="B91" s="334">
        <v>18341.235843043516</v>
      </c>
    </row>
    <row r="92" spans="1:6">
      <c r="A92" s="341" t="s">
        <v>69</v>
      </c>
      <c r="B92" s="342">
        <v>37016.912776194004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3</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155</v>
      </c>
      <c r="C123" s="334">
        <v>312</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1098</v>
      </c>
    </row>
    <row r="130" spans="1:6">
      <c r="A130" s="348" t="s">
        <v>295</v>
      </c>
      <c r="B130" s="334">
        <v>27</v>
      </c>
    </row>
    <row r="131" spans="1:6">
      <c r="A131" s="348" t="s">
        <v>296</v>
      </c>
      <c r="B131" s="334">
        <v>17</v>
      </c>
    </row>
    <row r="132" spans="1:6">
      <c r="A132" s="341" t="s">
        <v>297</v>
      </c>
      <c r="B132" s="342">
        <v>87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1466050.0705717807</v>
      </c>
      <c r="C3" s="43" t="s">
        <v>170</v>
      </c>
      <c r="D3" s="43"/>
      <c r="E3" s="154"/>
      <c r="F3" s="43"/>
      <c r="G3" s="43"/>
      <c r="H3" s="43"/>
      <c r="I3" s="43"/>
      <c r="J3" s="43"/>
      <c r="K3" s="96"/>
    </row>
    <row r="4" spans="1:11">
      <c r="A4" s="383" t="s">
        <v>171</v>
      </c>
      <c r="B4" s="49">
        <f>IF(ISERROR('SEAP template'!B69),0,'SEAP template'!B69)</f>
        <v>175934.87604524189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1728.2025344991457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0.19565747874695102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2089.8771083579973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16551.991071428572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0.12626137238349922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14103.357402000001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14103.357402000001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0.19565747874695102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2759.4273511424699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353452.98446978105</v>
      </c>
      <c r="C5" s="17">
        <f>IF(ISERROR('Eigen informatie GS &amp; warmtenet'!B57),0,'Eigen informatie GS &amp; warmtenet'!B57)</f>
        <v>0</v>
      </c>
      <c r="D5" s="30">
        <f>(SUM(HH_hh_gas_kWh,HH_rest_gas_kWh)/1000)*0.902</f>
        <v>1054921.485139047</v>
      </c>
      <c r="E5" s="17">
        <f>B46*B57</f>
        <v>26747.768832896822</v>
      </c>
      <c r="F5" s="17">
        <f>B51*B62</f>
        <v>0</v>
      </c>
      <c r="G5" s="18"/>
      <c r="H5" s="17"/>
      <c r="I5" s="17"/>
      <c r="J5" s="17">
        <f>B50*B61+C50*C61</f>
        <v>0</v>
      </c>
      <c r="K5" s="17"/>
      <c r="L5" s="17"/>
      <c r="M5" s="17"/>
      <c r="N5" s="17">
        <f>B48*B59+C48*C59</f>
        <v>78135.868571396932</v>
      </c>
      <c r="O5" s="17">
        <f>B69*B70*B71</f>
        <v>2215.2433333333338</v>
      </c>
      <c r="P5" s="17">
        <f>B77*B78*B79/1000-B77*B78*B79/1000/B80</f>
        <v>4652.2666666666664</v>
      </c>
    </row>
    <row r="6" spans="1:16">
      <c r="A6" s="16" t="s">
        <v>624</v>
      </c>
      <c r="B6" s="843">
        <f>kWh_PV_kleiner_dan_10kW</f>
        <v>18341.235843043516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371794.22031282459</v>
      </c>
      <c r="C8" s="21">
        <f>C5</f>
        <v>0</v>
      </c>
      <c r="D8" s="21">
        <f>D5</f>
        <v>1054921.485139047</v>
      </c>
      <c r="E8" s="21">
        <f>E5</f>
        <v>26747.768832896822</v>
      </c>
      <c r="F8" s="21">
        <f>F5</f>
        <v>0</v>
      </c>
      <c r="G8" s="21"/>
      <c r="H8" s="21"/>
      <c r="I8" s="21"/>
      <c r="J8" s="21">
        <f>J5</f>
        <v>0</v>
      </c>
      <c r="K8" s="21"/>
      <c r="L8" s="21">
        <f>L5</f>
        <v>0</v>
      </c>
      <c r="M8" s="21">
        <f>M5</f>
        <v>0</v>
      </c>
      <c r="N8" s="21">
        <f>N5</f>
        <v>78135.868571396932</v>
      </c>
      <c r="O8" s="21">
        <f>O5</f>
        <v>2215.2433333333338</v>
      </c>
      <c r="P8" s="21">
        <f>P5</f>
        <v>4652.2666666666664</v>
      </c>
    </row>
    <row r="9" spans="1:16">
      <c r="B9" s="19"/>
      <c r="C9" s="19"/>
      <c r="D9" s="258"/>
      <c r="E9" s="19"/>
      <c r="F9" s="19"/>
      <c r="G9" s="19"/>
      <c r="H9" s="19"/>
      <c r="I9" s="19"/>
      <c r="J9" s="19"/>
      <c r="K9" s="19"/>
      <c r="L9" s="19"/>
      <c r="M9" s="19"/>
      <c r="N9" s="19"/>
      <c r="O9" s="19"/>
      <c r="P9" s="19"/>
    </row>
    <row r="10" spans="1:16">
      <c r="A10" s="24" t="s">
        <v>214</v>
      </c>
      <c r="B10" s="25">
        <f ca="1">'EF ele_warmte'!B12</f>
        <v>0.19565747874695102</v>
      </c>
      <c r="C10" s="25">
        <f ca="1">'EF ele_warmte'!B22</f>
        <v>0.12626137238349922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72744.319759095699</v>
      </c>
      <c r="C12" s="23">
        <f ca="1">C10*C8</f>
        <v>0</v>
      </c>
      <c r="D12" s="23">
        <f>D8*D10</f>
        <v>213094.13999808751</v>
      </c>
      <c r="E12" s="23">
        <f>E10*E8</f>
        <v>6071.743525067579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698</v>
      </c>
      <c r="B28" s="37">
        <f>aantalHuishoudens2011</f>
        <v>117505</v>
      </c>
      <c r="C28" s="36"/>
      <c r="D28" s="228"/>
    </row>
    <row r="29" spans="1:7" s="15" customFormat="1">
      <c r="A29" s="230" t="s">
        <v>699</v>
      </c>
      <c r="B29" s="37">
        <f>SUM(HH_hh_gas_aantal,HH_rest_gas_aantal)</f>
        <v>88375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88375</v>
      </c>
      <c r="C32" s="167">
        <f>IF(ISERROR(B32/SUM($B$32,$B$34,$B$35,$B$36,$B$38,$B$39)*100),0,B32/SUM($B$32,$B$34,$B$35,$B$36,$B$38,$B$39)*100)</f>
        <v>75.366063738156768</v>
      </c>
      <c r="D32" s="233"/>
      <c r="G32" s="15"/>
    </row>
    <row r="33" spans="1:7">
      <c r="A33" s="171" t="s">
        <v>72</v>
      </c>
      <c r="B33" s="34" t="s">
        <v>111</v>
      </c>
      <c r="C33" s="167"/>
      <c r="D33" s="233"/>
      <c r="G33" s="15"/>
    </row>
    <row r="34" spans="1:7">
      <c r="A34" s="171" t="s">
        <v>73</v>
      </c>
      <c r="B34" s="33">
        <f>IF((($B$28-$B$32-$B$39-$B$77-$B$38)*C20/100)&lt;0,0,($B$28-$B$32-$B$39-$B$77-$B$38)*C20/100)</f>
        <v>1182.593577201191</v>
      </c>
      <c r="C34" s="167">
        <f>IF(ISERROR(B34/SUM($B$32,$B$34,$B$35,$B$36,$B$38,$B$39)*100),0,B34/SUM($B$32,$B$34,$B$35,$B$36,$B$38,$B$39)*100)</f>
        <v>1.0085139792439013</v>
      </c>
      <c r="D34" s="233"/>
      <c r="G34" s="15"/>
    </row>
    <row r="35" spans="1:7">
      <c r="A35" s="171" t="s">
        <v>74</v>
      </c>
      <c r="B35" s="33">
        <f>IF((($B$28-$B$32-$B$39-$B$77-$B$38)*C21/100)&lt;0,0,($B$28-$B$32-$B$39-$B$77-$B$38)*C21/100)</f>
        <v>26487.024457677588</v>
      </c>
      <c r="C35" s="167">
        <f>IF(ISERROR(B35/SUM($B$32,$B$34,$B$35,$B$36,$B$38,$B$39)*100),0,B35/SUM($B$32,$B$34,$B$35,$B$36,$B$38,$B$39)*100)</f>
        <v>22.588093618234183</v>
      </c>
      <c r="D35" s="233"/>
      <c r="G35" s="15"/>
    </row>
    <row r="36" spans="1:7">
      <c r="A36" s="171" t="s">
        <v>75</v>
      </c>
      <c r="B36" s="33">
        <f>IF((($B$28-$B$32-$B$39-$B$77-$B$38)*C22/100)&lt;0,0,($B$28-$B$32-$B$39-$B$77-$B$38)*C22/100)</f>
        <v>1216.381965121225</v>
      </c>
      <c r="C36" s="167">
        <f>IF(ISERROR(B36/SUM($B$32,$B$34,$B$35,$B$36,$B$38,$B$39)*100),0,B36/SUM($B$32,$B$34,$B$35,$B$36,$B$38,$B$39)*100)</f>
        <v>1.0373286643651554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88375</v>
      </c>
      <c r="C44" s="34" t="s">
        <v>111</v>
      </c>
      <c r="D44" s="174"/>
    </row>
    <row r="45" spans="1:7">
      <c r="A45" s="171" t="s">
        <v>72</v>
      </c>
      <c r="B45" s="33" t="str">
        <f t="shared" si="0"/>
        <v>-</v>
      </c>
      <c r="C45" s="34" t="s">
        <v>111</v>
      </c>
      <c r="D45" s="174"/>
    </row>
    <row r="46" spans="1:7">
      <c r="A46" s="171" t="s">
        <v>73</v>
      </c>
      <c r="B46" s="33">
        <f t="shared" si="0"/>
        <v>1182.593577201191</v>
      </c>
      <c r="C46" s="34" t="s">
        <v>111</v>
      </c>
      <c r="D46" s="174"/>
    </row>
    <row r="47" spans="1:7">
      <c r="A47" s="171" t="s">
        <v>74</v>
      </c>
      <c r="B47" s="33">
        <f t="shared" si="0"/>
        <v>26487.024457677588</v>
      </c>
      <c r="C47" s="34" t="s">
        <v>111</v>
      </c>
      <c r="D47" s="174"/>
    </row>
    <row r="48" spans="1:7">
      <c r="A48" s="171" t="s">
        <v>75</v>
      </c>
      <c r="B48" s="33">
        <f t="shared" si="0"/>
        <v>1216.381965121225</v>
      </c>
      <c r="C48" s="33">
        <f>B48*10</f>
        <v>12163.81965121225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706853.54367799987</v>
      </c>
      <c r="C5" s="17">
        <f>IF(ISERROR('Eigen informatie GS &amp; warmtenet'!B58),0,'Eigen informatie GS &amp; warmtenet'!B58)</f>
        <v>0</v>
      </c>
      <c r="D5" s="30">
        <f>SUM(D6:D12)</f>
        <v>792804.55111325602</v>
      </c>
      <c r="E5" s="17">
        <f>SUM(E6:E12)</f>
        <v>10634.293828533542</v>
      </c>
      <c r="F5" s="17">
        <f>SUM(F6:F12)</f>
        <v>194535.13653281383</v>
      </c>
      <c r="G5" s="18"/>
      <c r="H5" s="17"/>
      <c r="I5" s="17"/>
      <c r="J5" s="17">
        <f>SUM(J6:J12)</f>
        <v>0</v>
      </c>
      <c r="K5" s="17"/>
      <c r="L5" s="17"/>
      <c r="M5" s="17"/>
      <c r="N5" s="17">
        <f>SUM(N6:N12)</f>
        <v>44817.343035667196</v>
      </c>
      <c r="O5" s="17">
        <f>B38*B39*B40</f>
        <v>42.21</v>
      </c>
      <c r="P5" s="17">
        <f>B46*B47*B48/1000-B46*B47*B48/1000/B49</f>
        <v>343.2</v>
      </c>
      <c r="R5" s="32"/>
    </row>
    <row r="6" spans="1:18">
      <c r="A6" s="32" t="s">
        <v>54</v>
      </c>
      <c r="B6" s="37">
        <f>B26</f>
        <v>179193.43044</v>
      </c>
      <c r="C6" s="33"/>
      <c r="D6" s="37">
        <f>IF(ISERROR(TER_kantoor_gas_kWh/1000),0,TER_kantoor_gas_kWh/1000)*0.902</f>
        <v>255755.05825738003</v>
      </c>
      <c r="E6" s="33">
        <f>$C$26*'E Balans VL '!I12/100/3.6*1000000</f>
        <v>2345.8627387585407</v>
      </c>
      <c r="F6" s="33">
        <f>$C$26*('E Balans VL '!L12+'E Balans VL '!N12)/100/3.6*1000000</f>
        <v>45692.473046460495</v>
      </c>
      <c r="G6" s="34"/>
      <c r="H6" s="33"/>
      <c r="I6" s="33"/>
      <c r="J6" s="33">
        <f>$C$26*('E Balans VL '!D12+'E Balans VL '!E12)/100/3.6*1000000</f>
        <v>0</v>
      </c>
      <c r="K6" s="33"/>
      <c r="L6" s="33"/>
      <c r="M6" s="33"/>
      <c r="N6" s="33">
        <f>$C$26*'E Balans VL '!Y12/100/3.6*1000000</f>
        <v>179.79685471890315</v>
      </c>
      <c r="O6" s="33"/>
      <c r="P6" s="33"/>
      <c r="R6" s="32"/>
    </row>
    <row r="7" spans="1:18">
      <c r="A7" s="32" t="s">
        <v>53</v>
      </c>
      <c r="B7" s="37">
        <f t="shared" ref="B7:B12" si="0">B27</f>
        <v>53994.054540999998</v>
      </c>
      <c r="C7" s="33"/>
      <c r="D7" s="37">
        <f>IF(ISERROR(TER_horeca_gas_kWh/1000),0,TER_horeca_gas_kWh/1000)*0.902</f>
        <v>80106.907443948003</v>
      </c>
      <c r="E7" s="33">
        <f>$C$27*'E Balans VL '!I9/100/3.6*1000000</f>
        <v>1786.8747704909822</v>
      </c>
      <c r="F7" s="33">
        <f>$C$27*('E Balans VL '!L9+'E Balans VL '!N9)/100/3.6*1000000</f>
        <v>23217.236522347896</v>
      </c>
      <c r="G7" s="34"/>
      <c r="H7" s="33"/>
      <c r="I7" s="33"/>
      <c r="J7" s="33">
        <f>$C$27*('E Balans VL '!D9+'E Balans VL '!E9)/100/3.6*1000000</f>
        <v>0</v>
      </c>
      <c r="K7" s="33"/>
      <c r="L7" s="33"/>
      <c r="M7" s="33"/>
      <c r="N7" s="33">
        <f>$C$27*'E Balans VL '!Y9/100/3.6*1000000</f>
        <v>12.997153007736234</v>
      </c>
      <c r="O7" s="33"/>
      <c r="P7" s="33"/>
      <c r="R7" s="32"/>
    </row>
    <row r="8" spans="1:18">
      <c r="A8" s="6" t="s">
        <v>52</v>
      </c>
      <c r="B8" s="37">
        <f t="shared" si="0"/>
        <v>157942.70603999999</v>
      </c>
      <c r="C8" s="33"/>
      <c r="D8" s="37">
        <f>IF(ISERROR(TER_handel_gas_kWh/1000),0,TER_handel_gas_kWh/1000)*0.902</f>
        <v>72958.819888965998</v>
      </c>
      <c r="E8" s="33">
        <f>$C$28*'E Balans VL '!I13/100/3.6*1000000</f>
        <v>4984.9131318936816</v>
      </c>
      <c r="F8" s="33">
        <f>$C$28*('E Balans VL '!L13+'E Balans VL '!N13)/100/3.6*1000000</f>
        <v>30975.345852825263</v>
      </c>
      <c r="G8" s="34"/>
      <c r="H8" s="33"/>
      <c r="I8" s="33"/>
      <c r="J8" s="33">
        <f>$C$28*('E Balans VL '!D13+'E Balans VL '!E13)/100/3.6*1000000</f>
        <v>0</v>
      </c>
      <c r="K8" s="33"/>
      <c r="L8" s="33"/>
      <c r="M8" s="33"/>
      <c r="N8" s="33">
        <f>$C$28*'E Balans VL '!Y13/100/3.6*1000000</f>
        <v>187.44732786955035</v>
      </c>
      <c r="O8" s="33"/>
      <c r="P8" s="33"/>
      <c r="R8" s="32"/>
    </row>
    <row r="9" spans="1:18">
      <c r="A9" s="32" t="s">
        <v>51</v>
      </c>
      <c r="B9" s="37">
        <f t="shared" si="0"/>
        <v>99698.340562000012</v>
      </c>
      <c r="C9" s="33"/>
      <c r="D9" s="37">
        <f>IF(ISERROR(TER_gezond_gas_kWh/1000),0,TER_gezond_gas_kWh/1000)*0.902</f>
        <v>93687.247907000012</v>
      </c>
      <c r="E9" s="33">
        <f>$C$29*'E Balans VL '!I10/100/3.6*1000000</f>
        <v>12.764304202175028</v>
      </c>
      <c r="F9" s="33">
        <f>$C$29*('E Balans VL '!L10+'E Balans VL '!N10)/100/3.6*1000000</f>
        <v>20771.343079471459</v>
      </c>
      <c r="G9" s="34"/>
      <c r="H9" s="33"/>
      <c r="I9" s="33"/>
      <c r="J9" s="33">
        <f>$C$29*('E Balans VL '!D10+'E Balans VL '!E10)/100/3.6*1000000</f>
        <v>0</v>
      </c>
      <c r="K9" s="33"/>
      <c r="L9" s="33"/>
      <c r="M9" s="33"/>
      <c r="N9" s="33">
        <f>$C$29*'E Balans VL '!Y10/100/3.6*1000000</f>
        <v>1171.0041335315864</v>
      </c>
      <c r="O9" s="33"/>
      <c r="P9" s="33"/>
      <c r="R9" s="32"/>
    </row>
    <row r="10" spans="1:18">
      <c r="A10" s="32" t="s">
        <v>50</v>
      </c>
      <c r="B10" s="37">
        <f t="shared" si="0"/>
        <v>46646.833425999997</v>
      </c>
      <c r="C10" s="33"/>
      <c r="D10" s="37">
        <f>IF(ISERROR(TER_ander_gas_kWh/1000),0,TER_ander_gas_kWh/1000)*0.902</f>
        <v>43580.580712262003</v>
      </c>
      <c r="E10" s="33">
        <f>$C$30*'E Balans VL '!I14/100/3.6*1000000</f>
        <v>70.145867742696751</v>
      </c>
      <c r="F10" s="33">
        <f>$C$30*('E Balans VL '!L14+'E Balans VL '!N14)/100/3.6*1000000</f>
        <v>10298.117178584567</v>
      </c>
      <c r="G10" s="34"/>
      <c r="H10" s="33"/>
      <c r="I10" s="33"/>
      <c r="J10" s="33">
        <f>$C$30*('E Balans VL '!D14+'E Balans VL '!E14)/100/3.6*1000000</f>
        <v>0</v>
      </c>
      <c r="K10" s="33"/>
      <c r="L10" s="33"/>
      <c r="M10" s="33"/>
      <c r="N10" s="33">
        <f>$C$30*'E Balans VL '!Y14/100/3.6*1000000</f>
        <v>36760.843953217445</v>
      </c>
      <c r="O10" s="33"/>
      <c r="P10" s="33"/>
      <c r="R10" s="32"/>
    </row>
    <row r="11" spans="1:18">
      <c r="A11" s="32" t="s">
        <v>55</v>
      </c>
      <c r="B11" s="37">
        <f t="shared" si="0"/>
        <v>97720.671992000003</v>
      </c>
      <c r="C11" s="33"/>
      <c r="D11" s="37">
        <f>IF(ISERROR(TER_onderwijs_gas_kWh/1000),0,TER_onderwijs_gas_kWh/1000)*0.902</f>
        <v>148779.00084784001</v>
      </c>
      <c r="E11" s="33">
        <f>$C$31*'E Balans VL '!I11/100/3.6*1000000</f>
        <v>172.09429234191862</v>
      </c>
      <c r="F11" s="33">
        <f>$C$31*('E Balans VL '!L11+'E Balans VL '!N11)/100/3.6*1000000</f>
        <v>45119.402511341534</v>
      </c>
      <c r="G11" s="34"/>
      <c r="H11" s="33"/>
      <c r="I11" s="33"/>
      <c r="J11" s="33">
        <f>$C$31*('E Balans VL '!D11+'E Balans VL '!E11)/100/3.6*1000000</f>
        <v>0</v>
      </c>
      <c r="K11" s="33"/>
      <c r="L11" s="33"/>
      <c r="M11" s="33"/>
      <c r="N11" s="33">
        <f>$C$31*'E Balans VL '!Y11/100/3.6*1000000</f>
        <v>182.05496327864446</v>
      </c>
      <c r="O11" s="33"/>
      <c r="P11" s="33"/>
      <c r="R11" s="32"/>
    </row>
    <row r="12" spans="1:18">
      <c r="A12" s="32" t="s">
        <v>260</v>
      </c>
      <c r="B12" s="37">
        <f t="shared" si="0"/>
        <v>71657.506676999998</v>
      </c>
      <c r="C12" s="33"/>
      <c r="D12" s="37">
        <f>IF(ISERROR(TER_rest_gas_kWh/1000),0,TER_rest_gas_kWh/1000)*0.902</f>
        <v>97936.936055860016</v>
      </c>
      <c r="E12" s="33">
        <f>$C$32*'E Balans VL '!I8/100/3.6*1000000</f>
        <v>1261.6387231035455</v>
      </c>
      <c r="F12" s="33">
        <f>$C$32*('E Balans VL '!L8+'E Balans VL '!N8)/100/3.6*1000000</f>
        <v>18461.21834178262</v>
      </c>
      <c r="G12" s="34"/>
      <c r="H12" s="33"/>
      <c r="I12" s="33"/>
      <c r="J12" s="33">
        <f>$C$32*('E Balans VL '!D8+'E Balans VL '!E8)/100/3.6*1000000</f>
        <v>0</v>
      </c>
      <c r="K12" s="33"/>
      <c r="L12" s="33"/>
      <c r="M12" s="33"/>
      <c r="N12" s="33">
        <f>$C$32*'E Balans VL '!Y8/100/3.6*1000000</f>
        <v>6323.1986500433322</v>
      </c>
      <c r="O12" s="33"/>
      <c r="P12" s="33"/>
      <c r="R12" s="32"/>
    </row>
    <row r="13" spans="1:18">
      <c r="A13" s="16" t="s">
        <v>491</v>
      </c>
      <c r="B13" s="247">
        <f ca="1">'lokale energieproductie'!N90+'lokale energieproductie'!N59</f>
        <v>5646</v>
      </c>
      <c r="C13" s="247">
        <f ca="1">'lokale energieproductie'!O90+'lokale energieproductie'!O59</f>
        <v>5414.4910714285716</v>
      </c>
      <c r="D13" s="310">
        <f ca="1">('lokale energieproductie'!P59+'lokale energieproductie'!P90)*(-1)</f>
        <v>-10722.857142857143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-101.25</v>
      </c>
      <c r="M13" s="248"/>
      <c r="N13" s="310">
        <f ca="1">('lokale energieproductie'!Q59+'lokale energieproductie'!R59+'lokale energieproductie'!V59+'lokale energieproductie'!Q90+'lokale energieproductie'!R90+'lokale energieproductie'!V90)*(-1)</f>
        <v>-5310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712499.54367799987</v>
      </c>
      <c r="C16" s="21">
        <f t="shared" ca="1" si="1"/>
        <v>5414.4910714285716</v>
      </c>
      <c r="D16" s="21">
        <f t="shared" ca="1" si="1"/>
        <v>782081.69397039886</v>
      </c>
      <c r="E16" s="21">
        <f t="shared" si="1"/>
        <v>10634.293828533542</v>
      </c>
      <c r="F16" s="21">
        <f t="shared" ca="1" si="1"/>
        <v>194535.13653281383</v>
      </c>
      <c r="G16" s="21">
        <f t="shared" si="1"/>
        <v>0</v>
      </c>
      <c r="H16" s="21">
        <f t="shared" si="1"/>
        <v>0</v>
      </c>
      <c r="I16" s="21">
        <f t="shared" si="1"/>
        <v>0</v>
      </c>
      <c r="J16" s="21">
        <f t="shared" si="1"/>
        <v>0</v>
      </c>
      <c r="K16" s="21">
        <f t="shared" si="1"/>
        <v>0</v>
      </c>
      <c r="L16" s="21">
        <f t="shared" ca="1" si="1"/>
        <v>0</v>
      </c>
      <c r="M16" s="21">
        <f t="shared" si="1"/>
        <v>0</v>
      </c>
      <c r="N16" s="21">
        <f t="shared" ca="1" si="1"/>
        <v>39507.343035667196</v>
      </c>
      <c r="O16" s="21">
        <f>O5</f>
        <v>42.21</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0.19565747874695102</v>
      </c>
      <c r="C18" s="25">
        <f ca="1">'EF ele_warmte'!B22</f>
        <v>0.12626137238349922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139405.86432439057</v>
      </c>
      <c r="C20" s="23">
        <f t="shared" ref="C20:P20" ca="1" si="2">C16*C18</f>
        <v>683.64107343677449</v>
      </c>
      <c r="D20" s="23">
        <f t="shared" ca="1" si="2"/>
        <v>157980.50218202057</v>
      </c>
      <c r="E20" s="23">
        <f t="shared" si="2"/>
        <v>2413.9846990771143</v>
      </c>
      <c r="F20" s="23">
        <f t="shared" ca="1" si="2"/>
        <v>51940.881454261296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179193.43044</v>
      </c>
      <c r="C26" s="39">
        <f>IF(ISERROR(B26*3.6/1000000/'E Balans VL '!Z12*100),0,B26*3.6/1000000/'E Balans VL '!Z12*100)</f>
        <v>3.8384624899801385</v>
      </c>
      <c r="D26" s="237" t="s">
        <v>660</v>
      </c>
      <c r="F26" s="6"/>
    </row>
    <row r="27" spans="1:18">
      <c r="A27" s="231" t="s">
        <v>53</v>
      </c>
      <c r="B27" s="33">
        <f>IF(ISERROR(TER_horeca_ele_kWh/1000),0,TER_horeca_ele_kWh/1000)</f>
        <v>53994.054540999998</v>
      </c>
      <c r="C27" s="39">
        <f>IF(ISERROR(B27*3.6/1000000/'E Balans VL '!Z9*100),0,B27*3.6/1000000/'E Balans VL '!Z9*100)</f>
        <v>4.3328351954973607</v>
      </c>
      <c r="D27" s="237" t="s">
        <v>660</v>
      </c>
      <c r="F27" s="6"/>
    </row>
    <row r="28" spans="1:18">
      <c r="A28" s="171" t="s">
        <v>52</v>
      </c>
      <c r="B28" s="33">
        <f>IF(ISERROR(TER_handel_ele_kWh/1000),0,TER_handel_ele_kWh/1000)</f>
        <v>157942.70603999999</v>
      </c>
      <c r="C28" s="39">
        <f>IF(ISERROR(B28*3.6/1000000/'E Balans VL '!Z13*100),0,B28*3.6/1000000/'E Balans VL '!Z13*100)</f>
        <v>4.6584039049524968</v>
      </c>
      <c r="D28" s="237" t="s">
        <v>660</v>
      </c>
      <c r="F28" s="6"/>
    </row>
    <row r="29" spans="1:18">
      <c r="A29" s="231" t="s">
        <v>51</v>
      </c>
      <c r="B29" s="33">
        <f>IF(ISERROR(TER_gezond_ele_kWh/1000),0,TER_gezond_ele_kWh/1000)</f>
        <v>99698.340562000012</v>
      </c>
      <c r="C29" s="39">
        <f>IF(ISERROR(B29*3.6/1000000/'E Balans VL '!Z10*100),0,B29*3.6/1000000/'E Balans VL '!Z10*100)</f>
        <v>10.64510975927398</v>
      </c>
      <c r="D29" s="237" t="s">
        <v>660</v>
      </c>
      <c r="F29" s="6"/>
    </row>
    <row r="30" spans="1:18">
      <c r="A30" s="231" t="s">
        <v>50</v>
      </c>
      <c r="B30" s="33">
        <f>IF(ISERROR(TER_ander_ele_kWh/1000),0,TER_ander_ele_kWh/1000)</f>
        <v>46646.833425999997</v>
      </c>
      <c r="C30" s="39">
        <f>IF(ISERROR(B30*3.6/1000000/'E Balans VL '!Z14*100),0,B30*3.6/1000000/'E Balans VL '!Z14*100)</f>
        <v>3.5234185033919849</v>
      </c>
      <c r="D30" s="237" t="s">
        <v>660</v>
      </c>
      <c r="F30" s="6"/>
    </row>
    <row r="31" spans="1:18">
      <c r="A31" s="231" t="s">
        <v>55</v>
      </c>
      <c r="B31" s="33">
        <f>IF(ISERROR(TER_onderwijs_ele_kWh/1000),0,TER_onderwijs_ele_kWh/1000)</f>
        <v>97720.671992000003</v>
      </c>
      <c r="C31" s="39">
        <f>IF(ISERROR(B31*3.6/1000000/'E Balans VL '!Z11*100),0,B31*3.6/1000000/'E Balans VL '!Z11*100)</f>
        <v>19.733065843232115</v>
      </c>
      <c r="D31" s="237" t="s">
        <v>660</v>
      </c>
    </row>
    <row r="32" spans="1:18">
      <c r="A32" s="231" t="s">
        <v>260</v>
      </c>
      <c r="B32" s="33">
        <f>IF(ISERROR(TER_rest_ele_kWh/1000),0,TER_rest_ele_kWh/1000)</f>
        <v>71657.506676999998</v>
      </c>
      <c r="C32" s="39">
        <f>IF(ISERROR(B32*3.6/1000000/'E Balans VL '!Z8*100),0,B32*3.6/1000000/'E Balans VL '!Z8*100)</f>
        <v>0.59414051271053592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18</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344169.16606007004</v>
      </c>
      <c r="C5" s="17">
        <f>IF(ISERROR('Eigen informatie GS &amp; warmtenet'!B59),0,'Eigen informatie GS &amp; warmtenet'!B59)</f>
        <v>0</v>
      </c>
      <c r="D5" s="30">
        <f>SUM(D6:D15)</f>
        <v>291279.30966680835</v>
      </c>
      <c r="E5" s="17">
        <f>SUM(E6:E15)</f>
        <v>17704.833241203756</v>
      </c>
      <c r="F5" s="17">
        <f>SUM(F6:F15)</f>
        <v>82819.511766524025</v>
      </c>
      <c r="G5" s="18"/>
      <c r="H5" s="17"/>
      <c r="I5" s="17"/>
      <c r="J5" s="17">
        <f>SUM(J6:J15)</f>
        <v>2447.9942306672247</v>
      </c>
      <c r="K5" s="17"/>
      <c r="L5" s="17"/>
      <c r="M5" s="17"/>
      <c r="N5" s="17">
        <f>SUM(N6:N15)</f>
        <v>73700.540343039349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30351.738021000001</v>
      </c>
      <c r="C8" s="33"/>
      <c r="D8" s="37">
        <f>IF( ISERROR(IND_metaal_Gas_kWH/1000),0,IND_metaal_Gas_kWH/1000)*0.902</f>
        <v>11978.001363438001</v>
      </c>
      <c r="E8" s="33">
        <f>C30*'E Balans VL '!I18/100/3.6*1000000</f>
        <v>1092.1473542274039</v>
      </c>
      <c r="F8" s="33">
        <f>C30*'E Balans VL '!L18/100/3.6*1000000+C30*'E Balans VL '!N18/100/3.6*1000000</f>
        <v>13253.620096281466</v>
      </c>
      <c r="G8" s="34"/>
      <c r="H8" s="33"/>
      <c r="I8" s="33"/>
      <c r="J8" s="40">
        <f>C30*'E Balans VL '!D18/100/3.6*1000000+C30*'E Balans VL '!E18/100/3.6*1000000</f>
        <v>0</v>
      </c>
      <c r="K8" s="33"/>
      <c r="L8" s="33"/>
      <c r="M8" s="33"/>
      <c r="N8" s="33">
        <f>C30*'E Balans VL '!Y18/100/3.6*1000000</f>
        <v>1521.2084834209916</v>
      </c>
      <c r="O8" s="33"/>
      <c r="P8" s="33"/>
      <c r="R8" s="32"/>
    </row>
    <row r="9" spans="1:18">
      <c r="A9" s="6" t="s">
        <v>33</v>
      </c>
      <c r="B9" s="37">
        <f t="shared" si="0"/>
        <v>22221.460287000002</v>
      </c>
      <c r="C9" s="33"/>
      <c r="D9" s="37">
        <f>IF( ISERROR(IND_andere_gas_kWh/1000),0,IND_andere_gas_kWh/1000)*0.902</f>
        <v>20950.209673668003</v>
      </c>
      <c r="E9" s="33">
        <f>C31*'E Balans VL '!I19/100/3.6*1000000</f>
        <v>5670.413890621212</v>
      </c>
      <c r="F9" s="33">
        <f>C31*'E Balans VL '!L19/100/3.6*1000000+C31*'E Balans VL '!N19/100/3.6*1000000</f>
        <v>19131.007077218863</v>
      </c>
      <c r="G9" s="34"/>
      <c r="H9" s="33"/>
      <c r="I9" s="33"/>
      <c r="J9" s="40">
        <f>C31*'E Balans VL '!D19/100/3.6*1000000+C31*'E Balans VL '!E19/100/3.6*1000000</f>
        <v>0</v>
      </c>
      <c r="K9" s="33"/>
      <c r="L9" s="33"/>
      <c r="M9" s="33"/>
      <c r="N9" s="33">
        <f>C31*'E Balans VL '!Y19/100/3.6*1000000</f>
        <v>6949.4116372812405</v>
      </c>
      <c r="O9" s="33"/>
      <c r="P9" s="33"/>
      <c r="R9" s="32"/>
    </row>
    <row r="10" spans="1:18">
      <c r="A10" s="6" t="s">
        <v>41</v>
      </c>
      <c r="B10" s="37">
        <f t="shared" si="0"/>
        <v>9026.662557900001</v>
      </c>
      <c r="C10" s="33"/>
      <c r="D10" s="37">
        <f>IF( ISERROR(IND_voed_gas_kWh/1000),0,IND_voed_gas_kWh/1000)*0.902</f>
        <v>8746.6801237222007</v>
      </c>
      <c r="E10" s="33">
        <f>C32*'E Balans VL '!I20/100/3.6*1000000</f>
        <v>229.47015684522847</v>
      </c>
      <c r="F10" s="33">
        <f>C32*'E Balans VL '!L20/100/3.6*1000000+C32*'E Balans VL '!N20/100/3.6*1000000</f>
        <v>2042.5982349620854</v>
      </c>
      <c r="G10" s="34"/>
      <c r="H10" s="33"/>
      <c r="I10" s="33"/>
      <c r="J10" s="40">
        <f>C32*'E Balans VL '!D20/100/3.6*1000000+C32*'E Balans VL '!E20/100/3.6*1000000</f>
        <v>0</v>
      </c>
      <c r="K10" s="33"/>
      <c r="L10" s="33"/>
      <c r="M10" s="33"/>
      <c r="N10" s="33">
        <f>C32*'E Balans VL '!Y20/100/3.6*1000000</f>
        <v>3385.2431365251864</v>
      </c>
      <c r="O10" s="33"/>
      <c r="P10" s="33"/>
      <c r="R10" s="32"/>
    </row>
    <row r="11" spans="1:18">
      <c r="A11" s="6" t="s">
        <v>40</v>
      </c>
      <c r="B11" s="37">
        <f t="shared" si="0"/>
        <v>300.17690016999995</v>
      </c>
      <c r="C11" s="33"/>
      <c r="D11" s="37">
        <f>IF( ISERROR(IND_textiel_gas_kWh/1000),0,IND_textiel_gas_kWh/1000)*0.902</f>
        <v>351.43023794538004</v>
      </c>
      <c r="E11" s="33">
        <f>C33*'E Balans VL '!I21/100/3.6*1000000</f>
        <v>0.82406631539420339</v>
      </c>
      <c r="F11" s="33">
        <f>C33*'E Balans VL '!L21/100/3.6*1000000+C33*'E Balans VL '!N21/100/3.6*1000000</f>
        <v>15.914128248674315</v>
      </c>
      <c r="G11" s="34"/>
      <c r="H11" s="33"/>
      <c r="I11" s="33"/>
      <c r="J11" s="40">
        <f>C33*'E Balans VL '!D21/100/3.6*1000000+C33*'E Balans VL '!E21/100/3.6*1000000</f>
        <v>0</v>
      </c>
      <c r="K11" s="33"/>
      <c r="L11" s="33"/>
      <c r="M11" s="33"/>
      <c r="N11" s="33">
        <f>C33*'E Balans VL '!Y21/100/3.6*1000000</f>
        <v>0.6033058952859216</v>
      </c>
      <c r="O11" s="33"/>
      <c r="P11" s="33"/>
      <c r="R11" s="32"/>
    </row>
    <row r="12" spans="1:18">
      <c r="A12" s="6" t="s">
        <v>37</v>
      </c>
      <c r="B12" s="37">
        <f t="shared" si="0"/>
        <v>67959.164656000008</v>
      </c>
      <c r="C12" s="33"/>
      <c r="D12" s="37">
        <f>IF( ISERROR(IND_min_gas_kWh/1000),0,IND_min_gas_kWh/1000)*0.902</f>
        <v>139.45631485874003</v>
      </c>
      <c r="E12" s="33">
        <f>C34*'E Balans VL '!I22/100/3.6*1000000</f>
        <v>1443.9619281718283</v>
      </c>
      <c r="F12" s="33">
        <f>C34*'E Balans VL '!L22/100/3.6*1000000+C34*'E Balans VL '!N22/100/3.6*1000000</f>
        <v>11088.116868329431</v>
      </c>
      <c r="G12" s="34"/>
      <c r="H12" s="33"/>
      <c r="I12" s="33"/>
      <c r="J12" s="40">
        <f>C34*'E Balans VL '!D22/100/3.6*1000000+C34*'E Balans VL '!E22/100/3.6*1000000</f>
        <v>79.178768808277425</v>
      </c>
      <c r="K12" s="33"/>
      <c r="L12" s="33"/>
      <c r="M12" s="33"/>
      <c r="N12" s="33">
        <f>C34*'E Balans VL '!Y22/100/3.6*1000000</f>
        <v>0</v>
      </c>
      <c r="O12" s="33"/>
      <c r="P12" s="33"/>
      <c r="R12" s="32"/>
    </row>
    <row r="13" spans="1:18">
      <c r="A13" s="6" t="s">
        <v>39</v>
      </c>
      <c r="B13" s="37">
        <f t="shared" si="0"/>
        <v>15014.520619000001</v>
      </c>
      <c r="C13" s="33"/>
      <c r="D13" s="37">
        <f>IF( ISERROR(IND_papier_gas_kWh/1000),0,IND_papier_gas_kWh/1000)*0.902</f>
        <v>3091.1834674380002</v>
      </c>
      <c r="E13" s="33">
        <f>C35*'E Balans VL '!I23/100/3.6*1000000</f>
        <v>64.392910943831154</v>
      </c>
      <c r="F13" s="33">
        <f>C35*'E Balans VL '!L23/100/3.6*1000000+C35*'E Balans VL '!N23/100/3.6*1000000</f>
        <v>377.36150526077944</v>
      </c>
      <c r="G13" s="34"/>
      <c r="H13" s="33"/>
      <c r="I13" s="33"/>
      <c r="J13" s="40">
        <f>C35*'E Balans VL '!D23/100/3.6*1000000+C35*'E Balans VL '!E23/100/3.6*1000000</f>
        <v>1005.1398041840529</v>
      </c>
      <c r="K13" s="33"/>
      <c r="L13" s="33"/>
      <c r="M13" s="33"/>
      <c r="N13" s="33">
        <f>C35*'E Balans VL '!Y23/100/3.6*1000000</f>
        <v>27329.998115809638</v>
      </c>
      <c r="O13" s="33"/>
      <c r="P13" s="33"/>
      <c r="R13" s="32"/>
    </row>
    <row r="14" spans="1:18">
      <c r="A14" s="6" t="s">
        <v>34</v>
      </c>
      <c r="B14" s="37">
        <f t="shared" si="0"/>
        <v>31088.187418999998</v>
      </c>
      <c r="C14" s="33"/>
      <c r="D14" s="37">
        <f>IF( ISERROR(IND_chemie_gas_kWh/1000),0,IND_chemie_gas_kWh/1000)*0.902</f>
        <v>41130.681998537999</v>
      </c>
      <c r="E14" s="33">
        <f>C36*'E Balans VL '!I24/100/3.6*1000000</f>
        <v>74.529059782197578</v>
      </c>
      <c r="F14" s="33">
        <f>C36*'E Balans VL '!L24/100/3.6*1000000+C36*'E Balans VL '!N24/100/3.6*1000000</f>
        <v>249.48973631694136</v>
      </c>
      <c r="G14" s="34"/>
      <c r="H14" s="33"/>
      <c r="I14" s="33"/>
      <c r="J14" s="40">
        <f>C36*'E Balans VL '!D24/100/3.6*1000000+C36*'E Balans VL '!E24/100/3.6*1000000</f>
        <v>0</v>
      </c>
      <c r="K14" s="33"/>
      <c r="L14" s="33"/>
      <c r="M14" s="33"/>
      <c r="N14" s="33">
        <f>C36*'E Balans VL '!Y24/100/3.6*1000000</f>
        <v>642.56873249837543</v>
      </c>
      <c r="O14" s="33"/>
      <c r="P14" s="33"/>
      <c r="R14" s="32"/>
    </row>
    <row r="15" spans="1:18">
      <c r="A15" s="6" t="s">
        <v>270</v>
      </c>
      <c r="B15" s="37">
        <f t="shared" si="0"/>
        <v>168207.2556</v>
      </c>
      <c r="C15" s="33"/>
      <c r="D15" s="37">
        <f>IF( ISERROR(IND_rest_gas_kWh/1000),0,IND_rest_gas_kWh/1000)*0.902</f>
        <v>204891.66648720001</v>
      </c>
      <c r="E15" s="33">
        <f>C37*'E Balans VL '!I15/100/3.6*1000000</f>
        <v>9129.0938742966646</v>
      </c>
      <c r="F15" s="33">
        <f>C37*'E Balans VL '!L15/100/3.6*1000000+C37*'E Balans VL '!N15/100/3.6*1000000</f>
        <v>36661.404119905783</v>
      </c>
      <c r="G15" s="34"/>
      <c r="H15" s="33"/>
      <c r="I15" s="33"/>
      <c r="J15" s="40">
        <f>C37*'E Balans VL '!D15/100/3.6*1000000+C37*'E Balans VL '!E15/100/3.6*1000000</f>
        <v>1363.6756576748942</v>
      </c>
      <c r="K15" s="33"/>
      <c r="L15" s="33"/>
      <c r="M15" s="33"/>
      <c r="N15" s="33">
        <f>C37*'E Balans VL '!Y15/100/3.6*1000000</f>
        <v>33871.506931608623</v>
      </c>
      <c r="O15" s="33"/>
      <c r="P15" s="33"/>
      <c r="R15" s="32"/>
    </row>
    <row r="16" spans="1:18">
      <c r="A16" s="16" t="s">
        <v>491</v>
      </c>
      <c r="B16" s="247">
        <f>'lokale energieproductie'!N89+'lokale energieproductie'!N58</f>
        <v>9900</v>
      </c>
      <c r="C16" s="247">
        <f>'lokale energieproductie'!O89+'lokale energieproductie'!O58</f>
        <v>11137.5</v>
      </c>
      <c r="D16" s="310">
        <f>('lokale energieproductie'!P58+'lokale energieproductie'!P89)*(-1)</f>
        <v>0</v>
      </c>
      <c r="E16" s="248"/>
      <c r="F16" s="310">
        <f>('lokale energieproductie'!S58+'lokale energieproductie'!S89)*(-1)</f>
        <v>-6187.5</v>
      </c>
      <c r="G16" s="249"/>
      <c r="H16" s="248"/>
      <c r="I16" s="248"/>
      <c r="J16" s="248"/>
      <c r="K16" s="248"/>
      <c r="L16" s="310">
        <f>('lokale energieproductie'!T58+'lokale energieproductie'!U58+'lokale energieproductie'!T89+'lokale energieproductie'!U89)*(-1)</f>
        <v>-18562.5</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354069.16606007004</v>
      </c>
      <c r="C18" s="21">
        <f>C5+C16</f>
        <v>11137.5</v>
      </c>
      <c r="D18" s="21">
        <f>MAX((D5+D16),0)</f>
        <v>291279.30966680835</v>
      </c>
      <c r="E18" s="21">
        <f>MAX((E5+E16),0)</f>
        <v>17704.833241203756</v>
      </c>
      <c r="F18" s="21">
        <f>MAX((F5+F16),0)</f>
        <v>76632.011766524025</v>
      </c>
      <c r="G18" s="21"/>
      <c r="H18" s="21"/>
      <c r="I18" s="21"/>
      <c r="J18" s="21">
        <f>MAX((J5+J16),0)</f>
        <v>2447.9942306672247</v>
      </c>
      <c r="K18" s="21"/>
      <c r="L18" s="21">
        <f>MAX((L5+L16),0)</f>
        <v>0</v>
      </c>
      <c r="M18" s="21"/>
      <c r="N18" s="21">
        <f>MAX((N5+N16),0)</f>
        <v>73700.540343039349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0.19565747874695102</v>
      </c>
      <c r="C20" s="25">
        <f ca="1">'EF ele_warmte'!B22</f>
        <v>0.12626137238349922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69276.280333348826</v>
      </c>
      <c r="C22" s="23">
        <f ca="1">C18*C20</f>
        <v>1406.2360349212224</v>
      </c>
      <c r="D22" s="23">
        <f>D18*D20</f>
        <v>58838.420552695286</v>
      </c>
      <c r="E22" s="23">
        <f>E18*E20</f>
        <v>4018.9971457532529</v>
      </c>
      <c r="F22" s="23">
        <f>F18*F20</f>
        <v>20460.747141661916</v>
      </c>
      <c r="G22" s="23"/>
      <c r="H22" s="23"/>
      <c r="I22" s="23"/>
      <c r="J22" s="23">
        <f>J18*J20</f>
        <v>866.5899576561975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30351.738021000001</v>
      </c>
      <c r="C30" s="39">
        <f>IF(ISERROR(B30*3.6/1000000/'E Balans VL '!Z18*100),0,B30*3.6/1000000/'E Balans VL '!Z18*100)</f>
        <v>6.430882562536917</v>
      </c>
      <c r="D30" s="237" t="s">
        <v>660</v>
      </c>
    </row>
    <row r="31" spans="1:18">
      <c r="A31" s="6" t="s">
        <v>33</v>
      </c>
      <c r="B31" s="37">
        <f>IF( ISERROR(IND_ander_ele_kWh/1000),0,IND_ander_ele_kWh/1000)</f>
        <v>22221.460287000002</v>
      </c>
      <c r="C31" s="39">
        <f>IF(ISERROR(B31*3.6/1000000/'E Balans VL '!Z19*100),0,B31*3.6/1000000/'E Balans VL '!Z19*100)</f>
        <v>0.9353517209749791</v>
      </c>
      <c r="D31" s="237" t="s">
        <v>660</v>
      </c>
    </row>
    <row r="32" spans="1:18">
      <c r="A32" s="171" t="s">
        <v>41</v>
      </c>
      <c r="B32" s="37">
        <f>IF( ISERROR(IND_voed_ele_kWh/1000),0,IND_voed_ele_kWh/1000)</f>
        <v>9026.662557900001</v>
      </c>
      <c r="C32" s="39">
        <f>IF(ISERROR(B32*3.6/1000000/'E Balans VL '!Z20*100),0,B32*3.6/1000000/'E Balans VL '!Z20*100)</f>
        <v>1.5080061099598994</v>
      </c>
      <c r="D32" s="237" t="s">
        <v>660</v>
      </c>
    </row>
    <row r="33" spans="1:5">
      <c r="A33" s="171" t="s">
        <v>40</v>
      </c>
      <c r="B33" s="37">
        <f>IF( ISERROR(IND_textiel_ele_kWh/1000),0,IND_textiel_ele_kWh/1000)</f>
        <v>300.17690016999995</v>
      </c>
      <c r="C33" s="39">
        <f>IF(ISERROR(B33*3.6/1000000/'E Balans VL '!Z21*100),0,B33*3.6/1000000/'E Balans VL '!Z21*100)</f>
        <v>1.7525225716366642E-2</v>
      </c>
      <c r="D33" s="237" t="s">
        <v>660</v>
      </c>
    </row>
    <row r="34" spans="1:5">
      <c r="A34" s="171" t="s">
        <v>37</v>
      </c>
      <c r="B34" s="37">
        <f>IF( ISERROR(IND_min_ele_kWh/1000),0,IND_min_ele_kWh/1000)</f>
        <v>67959.164656000008</v>
      </c>
      <c r="C34" s="39">
        <f>IF(ISERROR(B34*3.6/1000000/'E Balans VL '!Z22*100),0,B34*3.6/1000000/'E Balans VL '!Z22*100)</f>
        <v>8.6141906228405389</v>
      </c>
      <c r="D34" s="237" t="s">
        <v>660</v>
      </c>
    </row>
    <row r="35" spans="1:5">
      <c r="A35" s="171" t="s">
        <v>39</v>
      </c>
      <c r="B35" s="37">
        <f>IF( ISERROR(IND_papier_ele_kWh/1000),0,IND_papier_ele_kWh/1000)</f>
        <v>15014.520619000001</v>
      </c>
      <c r="C35" s="39">
        <f>IF(ISERROR(B35*3.6/1000000/'E Balans VL '!Z22*100),0,B35*3.6/1000000/'E Balans VL '!Z22*100)</f>
        <v>1.9031714615287976</v>
      </c>
      <c r="D35" s="237" t="s">
        <v>660</v>
      </c>
    </row>
    <row r="36" spans="1:5">
      <c r="A36" s="171" t="s">
        <v>34</v>
      </c>
      <c r="B36" s="37">
        <f>IF( ISERROR(IND_chemie_ele_kWh/1000),0,IND_chemie_ele_kWh/1000)</f>
        <v>31088.187418999998</v>
      </c>
      <c r="C36" s="39">
        <f>IF(ISERROR(B36*3.6/1000000/'E Balans VL '!Z24*100),0,B36*3.6/1000000/'E Balans VL '!Z24*100)</f>
        <v>1.009745329892225</v>
      </c>
      <c r="D36" s="237" t="s">
        <v>660</v>
      </c>
    </row>
    <row r="37" spans="1:5">
      <c r="A37" s="171" t="s">
        <v>270</v>
      </c>
      <c r="B37" s="37">
        <f>IF( ISERROR(IND_rest_ele_kWh/1000),0,IND_rest_ele_kWh/1000)</f>
        <v>168207.2556</v>
      </c>
      <c r="C37" s="39">
        <f>IF(ISERROR(B37*3.6/1000000/'E Balans VL '!Z15*100),0,B37*3.6/1000000/'E Balans VL '!Z15*100)</f>
        <v>1.3580023072934502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3879.8186854999994</v>
      </c>
      <c r="C5" s="17">
        <f>'Eigen informatie GS &amp; warmtenet'!B60</f>
        <v>0</v>
      </c>
      <c r="D5" s="30">
        <f>IF(ISERROR(SUM(LB_lb_gas_kWh,LB_rest_gas_kWh,onbekend_gas_kWh)/1000),0,SUM(LB_lb_gas_kWh,LB_rest_gas_kWh,onbekend_gas_kWh)/1000)*0.902</f>
        <v>90222.429846293802</v>
      </c>
      <c r="E5" s="17">
        <f>B17*'E Balans VL '!I25/3.6*1000000/100</f>
        <v>100.04562711758044</v>
      </c>
      <c r="F5" s="17">
        <f>B17*('E Balans VL '!L25/3.6*1000000+'E Balans VL '!N25/3.6*1000000)/100</f>
        <v>14181.47617107869</v>
      </c>
      <c r="G5" s="18"/>
      <c r="H5" s="17"/>
      <c r="I5" s="17"/>
      <c r="J5" s="17">
        <f>('E Balans VL '!D25+'E Balans VL '!E25)/3.6*1000000*landbouw!B17/100</f>
        <v>558.55116515250677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3879.8186854999994</v>
      </c>
      <c r="C8" s="21">
        <f>C5+C6</f>
        <v>0</v>
      </c>
      <c r="D8" s="21">
        <f>MAX((D5+D6),0)</f>
        <v>90222.429846293802</v>
      </c>
      <c r="E8" s="21">
        <f>MAX((E5+E6),0)</f>
        <v>100.04562711758044</v>
      </c>
      <c r="F8" s="21">
        <f>MAX((F5+F6),0)</f>
        <v>14181.47617107869</v>
      </c>
      <c r="G8" s="21"/>
      <c r="H8" s="21"/>
      <c r="I8" s="21"/>
      <c r="J8" s="21">
        <f>MAX((J5+J6),0)</f>
        <v>558.55116515250677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0.19565747874695102</v>
      </c>
      <c r="C10" s="31">
        <f ca="1">'EF ele_warmte'!B22</f>
        <v>0.12626137238349922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759.11554200023966</v>
      </c>
      <c r="C12" s="23">
        <f ca="1">C8*C10</f>
        <v>0</v>
      </c>
      <c r="D12" s="23">
        <f>D8*D10</f>
        <v>18224.93082895135</v>
      </c>
      <c r="E12" s="23">
        <f>E8*E10</f>
        <v>22.710357355690761</v>
      </c>
      <c r="F12" s="23">
        <f>F8*F10</f>
        <v>3786.4541376780103</v>
      </c>
      <c r="G12" s="23"/>
      <c r="H12" s="23"/>
      <c r="I12" s="23"/>
      <c r="J12" s="23">
        <f>J8*J10</f>
        <v>197.7271124639874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0.54708013399821964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462.0440249453199</v>
      </c>
      <c r="C26" s="247">
        <f>B26*'GWP N2O_CH4'!B5</f>
        <v>9702.9245238517178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87.991275957276912</v>
      </c>
      <c r="C27" s="247">
        <f>B27*'GWP N2O_CH4'!B5</f>
        <v>1847.8167951028151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5.5242337736441813</v>
      </c>
      <c r="C28" s="247">
        <f>B28*'GWP N2O_CH4'!B4</f>
        <v>1712.5124698296961</v>
      </c>
      <c r="D28" s="50"/>
    </row>
    <row r="29" spans="1:4">
      <c r="A29" s="41" t="s">
        <v>277</v>
      </c>
      <c r="B29" s="247">
        <f>B34*'ha_N2O bodem landbouw'!B4</f>
        <v>20.463682274781728</v>
      </c>
      <c r="C29" s="247">
        <f>B29*'GWP N2O_CH4'!B4</f>
        <v>6343.7415051823355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4.6054405406689468E-3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1.6263463094110635E-3</v>
      </c>
      <c r="C5" s="463" t="s">
        <v>211</v>
      </c>
      <c r="D5" s="448">
        <f>SUM(D6:D11)</f>
        <v>3.7725919789208355E-3</v>
      </c>
      <c r="E5" s="448">
        <f>SUM(E6:E11)</f>
        <v>1.6206066880790602E-2</v>
      </c>
      <c r="F5" s="461" t="s">
        <v>211</v>
      </c>
      <c r="G5" s="448">
        <f>SUM(G6:G11)</f>
        <v>6.2020326847125666</v>
      </c>
      <c r="H5" s="448">
        <f>SUM(H6:H11)</f>
        <v>1.0330827193185579</v>
      </c>
      <c r="I5" s="463" t="s">
        <v>211</v>
      </c>
      <c r="J5" s="463" t="s">
        <v>211</v>
      </c>
      <c r="K5" s="463" t="s">
        <v>211</v>
      </c>
      <c r="L5" s="463" t="s">
        <v>211</v>
      </c>
      <c r="M5" s="448">
        <f>SUM(M6:M11)</f>
        <v>0.22634195143737076</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4.9216079089531121E-4</v>
      </c>
      <c r="C6" s="449"/>
      <c r="D6" s="962">
        <f>vkm_2011_GW_PW*SUMIFS(TableVerdeelsleutelVkm[CNG],TableVerdeelsleutelVkm[Voertuigtype],"Lichte voertuigen")*SUMIFS(TableECFTransport[EnergieConsumptieFactor (PJ per km)],TableECFTransport[Index],CONCATENATE($A6,"_CNG_CNG"))</f>
        <v>9.779321124604376E-4</v>
      </c>
      <c r="E6" s="962">
        <f>vkm_2011_GW_PW*SUMIFS(TableVerdeelsleutelVkm[LPG],TableVerdeelsleutelVkm[Voertuigtype],"Lichte voertuigen")*SUMIFS(TableECFTransport[EnergieConsumptieFactor (PJ per km)],TableECFTransport[Index],CONCATENATE($A6,"_LPG_LPG"))</f>
        <v>3.848513424914417E-3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0.91504444224896864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0.26475564328021994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3.6763660108417376E-2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0.8109052023745259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2.6195701697264443E-4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2.5550382180179482E-2</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3.0277442301047892E-4</v>
      </c>
      <c r="C8" s="449"/>
      <c r="D8" s="451">
        <f>vkm_2011_NGW_PW*SUMIFS(TableVerdeelsleutelVkm[CNG],TableVerdeelsleutelVkm[Voertuigtype],"Lichte voertuigen")*SUMIFS(TableECFTransport[EnergieConsumptieFactor (PJ per km)],TableECFTransport[Index],CONCATENATE($A8,"_CNG_CNG"))</f>
        <v>1.0652461589206333E-3</v>
      </c>
      <c r="E8" s="451">
        <f>vkm_2011_NGW_PW*SUMIFS(TableVerdeelsleutelVkm[LPG],TableVerdeelsleutelVkm[Voertuigtype],"Lichte voertuigen")*SUMIFS(TableECFTransport[EnergieConsumptieFactor (PJ per km)],TableECFTransport[Index],CONCATENATE($A8,"_LPG_LPG"))</f>
        <v>3.8769754842444058E-3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0.86079754325104585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0.27964271546886166</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3.5501460242697708E-2</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0.33782612251947958</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1.0320874489298451E-4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1.0644206555379284E-2</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8.3141109550527329E-4</v>
      </c>
      <c r="C10" s="449"/>
      <c r="D10" s="451">
        <f>vkm_2011_SW_PW*SUMIFS(TableVerdeelsleutelVkm[CNG],TableVerdeelsleutelVkm[Voertuigtype],"Lichte voertuigen")*SUMIFS(TableECFTransport[EnergieConsumptieFactor (PJ per km)],TableECFTransport[Index],CONCATENATE($A10,"_CNG_CNG"))</f>
        <v>1.7294137075397644E-3</v>
      </c>
      <c r="E10" s="451">
        <f>vkm_2011_SW_PW*SUMIFS(TableVerdeelsleutelVkm[LPG],TableVerdeelsleutelVkm[Voertuigtype],"Lichte voertuigen")*SUMIFS(TableECFTransport[EnergieConsumptieFactor (PJ per km)],TableECFTransport[Index],CONCATENATE($A10,"_LPG_LPG"))</f>
        <v>8.4805779716317781E-3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1.8062657371521937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0.48780713337180376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7.1526078039536672E-2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1.4711936371663525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5.1206143580697966E-4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4.6356164311160242E-2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451.76286372529546</v>
      </c>
      <c r="C14" s="21"/>
      <c r="D14" s="21">
        <f t="shared" ref="D14:M14" si="0">((D5)*10^9/3600)+D12</f>
        <v>1047.9422163668987</v>
      </c>
      <c r="E14" s="21">
        <f t="shared" si="0"/>
        <v>4501.685244664056</v>
      </c>
      <c r="F14" s="21"/>
      <c r="G14" s="21">
        <f t="shared" si="0"/>
        <v>1722786.8568646018</v>
      </c>
      <c r="H14" s="21">
        <f t="shared" si="0"/>
        <v>286967.42203293275</v>
      </c>
      <c r="I14" s="21"/>
      <c r="J14" s="21"/>
      <c r="K14" s="21"/>
      <c r="L14" s="21"/>
      <c r="M14" s="21">
        <f t="shared" si="0"/>
        <v>62872.764288158549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0.19565747874695102</v>
      </c>
      <c r="C16" s="56">
        <f ca="1">'EF ele_warmte'!B22</f>
        <v>0.12626137238349922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88.390782907993724</v>
      </c>
      <c r="C18" s="23"/>
      <c r="D18" s="23">
        <f t="shared" ref="D18:M18" si="1">D14*D16</f>
        <v>211.68432770611355</v>
      </c>
      <c r="E18" s="23">
        <f t="shared" si="1"/>
        <v>1021.8825505387407</v>
      </c>
      <c r="F18" s="23"/>
      <c r="G18" s="23">
        <f t="shared" si="1"/>
        <v>459984.09078284871</v>
      </c>
      <c r="H18" s="23">
        <f t="shared" si="1"/>
        <v>71454.888086200255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3.3307925650779252E-2</v>
      </c>
      <c r="C50" s="321">
        <f t="shared" ref="C50:P50" si="2">SUM(C51:C52)</f>
        <v>0</v>
      </c>
      <c r="D50" s="321">
        <f t="shared" si="2"/>
        <v>0</v>
      </c>
      <c r="E50" s="321">
        <f t="shared" si="2"/>
        <v>0</v>
      </c>
      <c r="F50" s="321">
        <f t="shared" si="2"/>
        <v>0</v>
      </c>
      <c r="G50" s="321">
        <f t="shared" si="2"/>
        <v>0.13423412530536388</v>
      </c>
      <c r="H50" s="321">
        <f t="shared" si="2"/>
        <v>0</v>
      </c>
      <c r="I50" s="321">
        <f t="shared" si="2"/>
        <v>0</v>
      </c>
      <c r="J50" s="321">
        <f t="shared" si="2"/>
        <v>0</v>
      </c>
      <c r="K50" s="321">
        <f t="shared" si="2"/>
        <v>0</v>
      </c>
      <c r="L50" s="321">
        <f t="shared" si="2"/>
        <v>0</v>
      </c>
      <c r="M50" s="321">
        <f t="shared" si="2"/>
        <v>4.1636422607916378E-3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0.13423412530536388</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4.1636422607916378E-3</v>
      </c>
      <c r="N51" s="323"/>
      <c r="O51" s="323"/>
      <c r="P51" s="326"/>
    </row>
    <row r="52" spans="1:18">
      <c r="A52" s="4" t="s">
        <v>330</v>
      </c>
      <c r="B52" s="963">
        <f>vkm_2011_tram*SUMIFS(TableECFTransport[EnergieConsumptieFactor (PJ per km)],TableECFTransport[Index],"Tram_gemiddeld_Electric_Electric")</f>
        <v>3.3307925650779252E-2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9252.2015696609033</v>
      </c>
      <c r="C54" s="21">
        <f t="shared" ref="C54:P54" si="3">(C50)*10^9/3600</f>
        <v>0</v>
      </c>
      <c r="D54" s="21">
        <f t="shared" si="3"/>
        <v>0</v>
      </c>
      <c r="E54" s="21">
        <f t="shared" si="3"/>
        <v>0</v>
      </c>
      <c r="F54" s="21">
        <f t="shared" si="3"/>
        <v>0</v>
      </c>
      <c r="G54" s="21">
        <f t="shared" si="3"/>
        <v>37287.257029267748</v>
      </c>
      <c r="H54" s="21">
        <f t="shared" si="3"/>
        <v>0</v>
      </c>
      <c r="I54" s="21">
        <f t="shared" si="3"/>
        <v>0</v>
      </c>
      <c r="J54" s="21">
        <f t="shared" si="3"/>
        <v>0</v>
      </c>
      <c r="K54" s="21">
        <f t="shared" si="3"/>
        <v>0</v>
      </c>
      <c r="L54" s="21">
        <f t="shared" si="3"/>
        <v>0</v>
      </c>
      <c r="M54" s="21">
        <f t="shared" si="3"/>
        <v>1156.5672946643438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0.19565747874695102</v>
      </c>
      <c r="C56" s="56">
        <f ca="1">'EF ele_warmte'!B22</f>
        <v>0.12626137238349922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1810.2624319784352</v>
      </c>
      <c r="C58" s="23">
        <f t="shared" ref="C58:P58" ca="1" si="4">C54*C56</f>
        <v>0</v>
      </c>
      <c r="D58" s="23">
        <f t="shared" si="4"/>
        <v>0</v>
      </c>
      <c r="E58" s="23">
        <f t="shared" si="4"/>
        <v>0</v>
      </c>
      <c r="F58" s="23">
        <f t="shared" si="4"/>
        <v>0</v>
      </c>
      <c r="G58" s="23">
        <f t="shared" si="4"/>
        <v>9955.6976268144899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105030.72742600438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55358.148619237516</v>
      </c>
      <c r="C6" s="1203"/>
      <c r="D6" s="1188"/>
      <c r="E6" s="1188"/>
      <c r="F6" s="1206"/>
      <c r="G6" s="1209"/>
      <c r="H6" s="1200"/>
      <c r="I6" s="1188"/>
      <c r="J6" s="1188"/>
      <c r="K6" s="1188"/>
      <c r="L6" s="1192"/>
      <c r="M6" s="575"/>
      <c r="N6" s="1166"/>
      <c r="O6" s="1167"/>
      <c r="Q6" s="573"/>
      <c r="R6" s="1154"/>
      <c r="S6" s="1154"/>
    </row>
    <row r="7" spans="1:19" s="563" customFormat="1">
      <c r="A7" s="576" t="s">
        <v>252</v>
      </c>
      <c r="B7" s="577">
        <f>N57</f>
        <v>13687.5</v>
      </c>
      <c r="C7" s="578">
        <f>B100</f>
        <v>4853.5574489720902</v>
      </c>
      <c r="D7" s="579"/>
      <c r="E7" s="579">
        <f>E100</f>
        <v>2800.6888756808371</v>
      </c>
      <c r="F7" s="580"/>
      <c r="G7" s="581"/>
      <c r="H7" s="579">
        <f>I100</f>
        <v>0</v>
      </c>
      <c r="I7" s="579">
        <f>G100+F100</f>
        <v>8447.896081371835</v>
      </c>
      <c r="J7" s="579">
        <f>H100+D100+C100</f>
        <v>0</v>
      </c>
      <c r="K7" s="579"/>
      <c r="L7" s="582"/>
      <c r="M7" s="583">
        <f>C7*$C$11+D7*$D$11+E7*$E$11+F7*$F$11+G7*$G$11+H7*$H$11+I7*$I$11+J7*$J$11</f>
        <v>1728.2025344991457</v>
      </c>
      <c r="N7" s="1166"/>
      <c r="O7" s="1167"/>
      <c r="Q7" s="573"/>
      <c r="R7" s="1154"/>
      <c r="S7" s="1154"/>
    </row>
    <row r="8" spans="1:19" s="563" customFormat="1" ht="17.45" customHeight="1" thickBot="1">
      <c r="A8" s="584" t="s">
        <v>248</v>
      </c>
      <c r="B8" s="585">
        <f>N88+'Eigen informatie GS &amp; warmtenet'!B12</f>
        <v>1858.5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175934.87604524189</v>
      </c>
      <c r="C9" s="594">
        <f t="shared" ref="C9:L9" si="0">SUM(C7:C8)</f>
        <v>4853.5574489720902</v>
      </c>
      <c r="D9" s="594">
        <f t="shared" si="0"/>
        <v>0</v>
      </c>
      <c r="E9" s="594">
        <f t="shared" si="0"/>
        <v>2800.6888756808371</v>
      </c>
      <c r="F9" s="594">
        <f t="shared" si="0"/>
        <v>0</v>
      </c>
      <c r="G9" s="594">
        <f t="shared" si="0"/>
        <v>0</v>
      </c>
      <c r="H9" s="594">
        <f t="shared" si="0"/>
        <v>0</v>
      </c>
      <c r="I9" s="594">
        <f t="shared" si="0"/>
        <v>8447.896081371835</v>
      </c>
      <c r="J9" s="594">
        <f t="shared" si="0"/>
        <v>5310</v>
      </c>
      <c r="K9" s="594">
        <f t="shared" si="0"/>
        <v>0</v>
      </c>
      <c r="L9" s="594">
        <f t="shared" si="0"/>
        <v>0</v>
      </c>
      <c r="M9" s="595">
        <f>SUM(M4:M8)</f>
        <v>1728.2025344991457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16551.991071428569</v>
      </c>
      <c r="C16" s="610">
        <f>B101</f>
        <v>5869.2996938850529</v>
      </c>
      <c r="D16" s="611"/>
      <c r="E16" s="611">
        <f>E101</f>
        <v>3386.8111243191624</v>
      </c>
      <c r="F16" s="612"/>
      <c r="G16" s="613"/>
      <c r="H16" s="610">
        <f>I101</f>
        <v>0</v>
      </c>
      <c r="I16" s="611">
        <f>G101+F101</f>
        <v>10215.853918628163</v>
      </c>
      <c r="J16" s="611">
        <f>H101+D101+C101</f>
        <v>0</v>
      </c>
      <c r="K16" s="611"/>
      <c r="L16" s="614"/>
      <c r="M16" s="615">
        <f>C16*$C$21+E16*$E$21+H16*$H$21+I16*$I$21+J16*$J$21+D16*$D$21+F16*$F$21+G16*$G$21+K16*$K$21+L16*$L$21</f>
        <v>2089.8771083579973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16551.991071428569</v>
      </c>
      <c r="C19" s="593">
        <f>SUM(C16:C18)</f>
        <v>5869.2996938850529</v>
      </c>
      <c r="D19" s="593">
        <f t="shared" ref="D19:M19" si="1">SUM(D16:D18)</f>
        <v>0</v>
      </c>
      <c r="E19" s="593">
        <f t="shared" si="1"/>
        <v>3386.8111243191624</v>
      </c>
      <c r="F19" s="593">
        <f t="shared" si="1"/>
        <v>0</v>
      </c>
      <c r="G19" s="593">
        <f t="shared" si="1"/>
        <v>0</v>
      </c>
      <c r="H19" s="593">
        <f t="shared" si="1"/>
        <v>0</v>
      </c>
      <c r="I19" s="593">
        <f t="shared" si="1"/>
        <v>10215.853918628163</v>
      </c>
      <c r="J19" s="593">
        <f t="shared" si="1"/>
        <v>0</v>
      </c>
      <c r="K19" s="593">
        <f t="shared" si="1"/>
        <v>0</v>
      </c>
      <c r="L19" s="593">
        <f t="shared" si="1"/>
        <v>0</v>
      </c>
      <c r="M19" s="620">
        <f t="shared" si="1"/>
        <v>2089.8771083579973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44021</v>
      </c>
      <c r="C27" s="851">
        <v>9042</v>
      </c>
      <c r="D27" s="672" t="s">
        <v>818</v>
      </c>
      <c r="E27" s="671" t="s">
        <v>819</v>
      </c>
      <c r="F27" s="671" t="s">
        <v>820</v>
      </c>
      <c r="G27" s="671" t="s">
        <v>821</v>
      </c>
      <c r="H27" s="671" t="s">
        <v>822</v>
      </c>
      <c r="I27" s="671" t="s">
        <v>823</v>
      </c>
      <c r="J27" s="850">
        <v>39812</v>
      </c>
      <c r="K27" s="850">
        <v>39812</v>
      </c>
      <c r="L27" s="671" t="s">
        <v>824</v>
      </c>
      <c r="M27" s="671">
        <v>2200</v>
      </c>
      <c r="N27" s="671">
        <v>9900</v>
      </c>
      <c r="O27" s="671">
        <v>11137.5</v>
      </c>
      <c r="P27" s="671">
        <v>0</v>
      </c>
      <c r="Q27" s="671">
        <v>0</v>
      </c>
      <c r="R27" s="671">
        <v>0</v>
      </c>
      <c r="S27" s="671">
        <v>6187.5</v>
      </c>
      <c r="T27" s="671">
        <v>18562.5</v>
      </c>
      <c r="U27" s="671">
        <v>0</v>
      </c>
      <c r="V27" s="671">
        <v>0</v>
      </c>
      <c r="W27" s="671">
        <v>0</v>
      </c>
      <c r="X27" s="671">
        <v>300</v>
      </c>
      <c r="Y27" s="671" t="s">
        <v>34</v>
      </c>
      <c r="Z27" s="673" t="s">
        <v>389</v>
      </c>
    </row>
    <row r="28" spans="1:26" s="625" customFormat="1" ht="63.75">
      <c r="A28" s="624"/>
      <c r="B28" s="851">
        <v>44021</v>
      </c>
      <c r="C28" s="851">
        <v>9031</v>
      </c>
      <c r="D28" s="672" t="s">
        <v>825</v>
      </c>
      <c r="E28" s="671" t="s">
        <v>826</v>
      </c>
      <c r="F28" s="671" t="s">
        <v>827</v>
      </c>
      <c r="G28" s="671" t="s">
        <v>821</v>
      </c>
      <c r="H28" s="671" t="s">
        <v>822</v>
      </c>
      <c r="I28" s="671" t="s">
        <v>826</v>
      </c>
      <c r="J28" s="850">
        <v>40096</v>
      </c>
      <c r="K28" s="850">
        <v>40179</v>
      </c>
      <c r="L28" s="671" t="s">
        <v>824</v>
      </c>
      <c r="M28" s="671">
        <v>9</v>
      </c>
      <c r="N28" s="671">
        <v>40.5</v>
      </c>
      <c r="O28" s="671">
        <v>45.5625</v>
      </c>
      <c r="P28" s="671">
        <v>0</v>
      </c>
      <c r="Q28" s="671">
        <v>0</v>
      </c>
      <c r="R28" s="671">
        <v>0</v>
      </c>
      <c r="S28" s="671">
        <v>0</v>
      </c>
      <c r="T28" s="671">
        <v>0</v>
      </c>
      <c r="U28" s="671">
        <v>101.25</v>
      </c>
      <c r="V28" s="671">
        <v>0</v>
      </c>
      <c r="W28" s="671">
        <v>0</v>
      </c>
      <c r="X28" s="671">
        <v>1600</v>
      </c>
      <c r="Y28" s="671" t="s">
        <v>50</v>
      </c>
      <c r="Z28" s="673" t="s">
        <v>156</v>
      </c>
    </row>
    <row r="29" spans="1:26" s="625" customFormat="1" ht="25.5">
      <c r="A29" s="624"/>
      <c r="B29" s="851">
        <v>44021</v>
      </c>
      <c r="C29" s="851">
        <v>9040</v>
      </c>
      <c r="D29" s="672" t="s">
        <v>828</v>
      </c>
      <c r="E29" s="671" t="s">
        <v>829</v>
      </c>
      <c r="F29" s="671" t="s">
        <v>830</v>
      </c>
      <c r="G29" s="671" t="s">
        <v>821</v>
      </c>
      <c r="H29" s="671" t="s">
        <v>831</v>
      </c>
      <c r="I29" s="671" t="s">
        <v>829</v>
      </c>
      <c r="J29" s="850">
        <v>41003</v>
      </c>
      <c r="K29" s="850">
        <v>41003</v>
      </c>
      <c r="L29" s="671" t="s">
        <v>824</v>
      </c>
      <c r="M29" s="671">
        <v>70</v>
      </c>
      <c r="N29" s="671">
        <v>315.00000000000006</v>
      </c>
      <c r="O29" s="671">
        <v>450.00000000000011</v>
      </c>
      <c r="P29" s="671">
        <v>900.00000000000023</v>
      </c>
      <c r="Q29" s="671">
        <v>0</v>
      </c>
      <c r="R29" s="671">
        <v>0</v>
      </c>
      <c r="S29" s="671">
        <v>0</v>
      </c>
      <c r="T29" s="671">
        <v>0</v>
      </c>
      <c r="U29" s="671">
        <v>0</v>
      </c>
      <c r="V29" s="671">
        <v>0</v>
      </c>
      <c r="W29" s="671">
        <v>0</v>
      </c>
      <c r="X29" s="671">
        <v>1300</v>
      </c>
      <c r="Y29" s="671" t="s">
        <v>54</v>
      </c>
      <c r="Z29" s="673" t="s">
        <v>156</v>
      </c>
    </row>
    <row r="30" spans="1:26" s="625" customFormat="1" ht="25.5">
      <c r="A30" s="624"/>
      <c r="B30" s="851">
        <v>44021</v>
      </c>
      <c r="C30" s="851">
        <v>9000</v>
      </c>
      <c r="D30" s="672" t="s">
        <v>832</v>
      </c>
      <c r="E30" s="671" t="s">
        <v>833</v>
      </c>
      <c r="F30" s="671" t="s">
        <v>834</v>
      </c>
      <c r="G30" s="671" t="s">
        <v>821</v>
      </c>
      <c r="H30" s="671" t="s">
        <v>831</v>
      </c>
      <c r="I30" s="671" t="s">
        <v>833</v>
      </c>
      <c r="J30" s="850">
        <v>40928</v>
      </c>
      <c r="K30" s="850">
        <v>41030</v>
      </c>
      <c r="L30" s="671" t="s">
        <v>824</v>
      </c>
      <c r="M30" s="671">
        <v>5</v>
      </c>
      <c r="N30" s="671">
        <v>22.5</v>
      </c>
      <c r="O30" s="671">
        <v>32.142857142857146</v>
      </c>
      <c r="P30" s="671">
        <v>64.285714285714292</v>
      </c>
      <c r="Q30" s="671">
        <v>0</v>
      </c>
      <c r="R30" s="671">
        <v>0</v>
      </c>
      <c r="S30" s="671">
        <v>0</v>
      </c>
      <c r="T30" s="671">
        <v>0</v>
      </c>
      <c r="U30" s="671">
        <v>0</v>
      </c>
      <c r="V30" s="671">
        <v>0</v>
      </c>
      <c r="W30" s="671">
        <v>0</v>
      </c>
      <c r="X30" s="671">
        <v>1300</v>
      </c>
      <c r="Y30" s="671" t="s">
        <v>54</v>
      </c>
      <c r="Z30" s="673" t="s">
        <v>156</v>
      </c>
    </row>
    <row r="31" spans="1:26" s="625" customFormat="1" ht="38.25">
      <c r="A31" s="624"/>
      <c r="B31" s="851">
        <v>44021</v>
      </c>
      <c r="C31" s="851">
        <v>9000</v>
      </c>
      <c r="D31" s="672" t="s">
        <v>835</v>
      </c>
      <c r="E31" s="671" t="s">
        <v>836</v>
      </c>
      <c r="F31" s="671" t="s">
        <v>837</v>
      </c>
      <c r="G31" s="671" t="s">
        <v>821</v>
      </c>
      <c r="H31" s="671" t="s">
        <v>831</v>
      </c>
      <c r="I31" s="671" t="s">
        <v>836</v>
      </c>
      <c r="J31" s="850">
        <v>41618</v>
      </c>
      <c r="K31" s="850">
        <v>41660</v>
      </c>
      <c r="L31" s="671" t="s">
        <v>824</v>
      </c>
      <c r="M31" s="671">
        <v>509</v>
      </c>
      <c r="N31" s="671">
        <v>2290.5</v>
      </c>
      <c r="O31" s="671">
        <v>3272.1428571428573</v>
      </c>
      <c r="P31" s="671">
        <v>6544.2857142857147</v>
      </c>
      <c r="Q31" s="671">
        <v>0</v>
      </c>
      <c r="R31" s="671">
        <v>0</v>
      </c>
      <c r="S31" s="671">
        <v>0</v>
      </c>
      <c r="T31" s="671">
        <v>0</v>
      </c>
      <c r="U31" s="671">
        <v>0</v>
      </c>
      <c r="V31" s="671">
        <v>0</v>
      </c>
      <c r="W31" s="671">
        <v>0</v>
      </c>
      <c r="X31" s="671">
        <v>1501</v>
      </c>
      <c r="Y31" s="671" t="s">
        <v>51</v>
      </c>
      <c r="Z31" s="673" t="s">
        <v>156</v>
      </c>
    </row>
    <row r="32" spans="1:26" s="625" customFormat="1" ht="25.5">
      <c r="A32" s="624"/>
      <c r="B32" s="851">
        <v>44021</v>
      </c>
      <c r="C32" s="851">
        <v>9031</v>
      </c>
      <c r="D32" s="672" t="s">
        <v>838</v>
      </c>
      <c r="E32" s="671" t="s">
        <v>839</v>
      </c>
      <c r="F32" s="671" t="s">
        <v>840</v>
      </c>
      <c r="G32" s="671" t="s">
        <v>841</v>
      </c>
      <c r="H32" s="671" t="s">
        <v>841</v>
      </c>
      <c r="I32" s="671" t="s">
        <v>839</v>
      </c>
      <c r="J32" s="850">
        <v>41549</v>
      </c>
      <c r="K32" s="850">
        <v>41688</v>
      </c>
      <c r="L32" s="671" t="s">
        <v>824</v>
      </c>
      <c r="M32" s="671">
        <v>1</v>
      </c>
      <c r="N32" s="671">
        <v>4.5</v>
      </c>
      <c r="O32" s="671">
        <v>22.5</v>
      </c>
      <c r="P32" s="671">
        <v>30</v>
      </c>
      <c r="Q32" s="671">
        <v>0</v>
      </c>
      <c r="R32" s="671">
        <v>0</v>
      </c>
      <c r="S32" s="671">
        <v>0</v>
      </c>
      <c r="T32" s="671">
        <v>0</v>
      </c>
      <c r="U32" s="671">
        <v>0</v>
      </c>
      <c r="V32" s="671">
        <v>0</v>
      </c>
      <c r="W32" s="671">
        <v>0</v>
      </c>
      <c r="X32" s="671">
        <v>1300</v>
      </c>
      <c r="Y32" s="671" t="s">
        <v>54</v>
      </c>
      <c r="Z32" s="673" t="s">
        <v>156</v>
      </c>
    </row>
    <row r="33" spans="1:26" s="625" customFormat="1" ht="38.25">
      <c r="A33" s="624"/>
      <c r="B33" s="851">
        <v>44021</v>
      </c>
      <c r="C33" s="851">
        <v>9050</v>
      </c>
      <c r="D33" s="672" t="s">
        <v>842</v>
      </c>
      <c r="E33" s="671" t="s">
        <v>843</v>
      </c>
      <c r="F33" s="671" t="s">
        <v>844</v>
      </c>
      <c r="G33" s="671" t="s">
        <v>821</v>
      </c>
      <c r="H33" s="671" t="s">
        <v>831</v>
      </c>
      <c r="I33" s="671" t="s">
        <v>843</v>
      </c>
      <c r="J33" s="850">
        <v>41767</v>
      </c>
      <c r="K33" s="850">
        <v>41767</v>
      </c>
      <c r="L33" s="671" t="s">
        <v>824</v>
      </c>
      <c r="M33" s="671">
        <v>5.5</v>
      </c>
      <c r="N33" s="671">
        <v>24.75</v>
      </c>
      <c r="O33" s="671">
        <v>35.357142857142861</v>
      </c>
      <c r="P33" s="671">
        <v>70.714285714285722</v>
      </c>
      <c r="Q33" s="671">
        <v>0</v>
      </c>
      <c r="R33" s="671">
        <v>0</v>
      </c>
      <c r="S33" s="671">
        <v>0</v>
      </c>
      <c r="T33" s="671">
        <v>0</v>
      </c>
      <c r="U33" s="671">
        <v>0</v>
      </c>
      <c r="V33" s="671">
        <v>0</v>
      </c>
      <c r="W33" s="671">
        <v>0</v>
      </c>
      <c r="X33" s="671">
        <v>1300</v>
      </c>
      <c r="Y33" s="671" t="s">
        <v>54</v>
      </c>
      <c r="Z33" s="673" t="s">
        <v>156</v>
      </c>
    </row>
    <row r="34" spans="1:26" s="625" customFormat="1" ht="25.5">
      <c r="A34" s="624"/>
      <c r="B34" s="851">
        <v>44021</v>
      </c>
      <c r="C34" s="851">
        <v>9000</v>
      </c>
      <c r="D34" s="672"/>
      <c r="E34" s="671"/>
      <c r="F34" s="671" t="s">
        <v>845</v>
      </c>
      <c r="G34" s="671" t="s">
        <v>821</v>
      </c>
      <c r="H34" s="671" t="s">
        <v>831</v>
      </c>
      <c r="I34" s="671" t="s">
        <v>846</v>
      </c>
      <c r="J34" s="850">
        <v>41597</v>
      </c>
      <c r="K34" s="850">
        <v>41604</v>
      </c>
      <c r="L34" s="671" t="s">
        <v>824</v>
      </c>
      <c r="M34" s="671">
        <v>70</v>
      </c>
      <c r="N34" s="671">
        <v>315.00000000000006</v>
      </c>
      <c r="O34" s="671">
        <v>450.00000000000011</v>
      </c>
      <c r="P34" s="671">
        <v>900.00000000000023</v>
      </c>
      <c r="Q34" s="671">
        <v>0</v>
      </c>
      <c r="R34" s="671">
        <v>0</v>
      </c>
      <c r="S34" s="671">
        <v>0</v>
      </c>
      <c r="T34" s="671">
        <v>0</v>
      </c>
      <c r="U34" s="671">
        <v>0</v>
      </c>
      <c r="V34" s="671">
        <v>0</v>
      </c>
      <c r="W34" s="671">
        <v>0</v>
      </c>
      <c r="X34" s="671">
        <v>1300</v>
      </c>
      <c r="Y34" s="671" t="s">
        <v>54</v>
      </c>
      <c r="Z34" s="673" t="s">
        <v>156</v>
      </c>
    </row>
    <row r="35" spans="1:26" s="625" customFormat="1" ht="25.5">
      <c r="A35" s="624"/>
      <c r="B35" s="851">
        <v>44021</v>
      </c>
      <c r="C35" s="851">
        <v>9000</v>
      </c>
      <c r="D35" s="672" t="s">
        <v>847</v>
      </c>
      <c r="E35" s="671" t="s">
        <v>848</v>
      </c>
      <c r="F35" s="671" t="s">
        <v>849</v>
      </c>
      <c r="G35" s="671" t="s">
        <v>821</v>
      </c>
      <c r="H35" s="671" t="s">
        <v>831</v>
      </c>
      <c r="I35" s="671" t="s">
        <v>850</v>
      </c>
      <c r="J35" s="850">
        <v>41970</v>
      </c>
      <c r="K35" s="850">
        <v>42224</v>
      </c>
      <c r="L35" s="671" t="s">
        <v>824</v>
      </c>
      <c r="M35" s="671">
        <v>238</v>
      </c>
      <c r="N35" s="671">
        <v>357</v>
      </c>
      <c r="O35" s="671">
        <v>510</v>
      </c>
      <c r="P35" s="671">
        <v>1020.0000000000001</v>
      </c>
      <c r="Q35" s="671">
        <v>0</v>
      </c>
      <c r="R35" s="671">
        <v>0</v>
      </c>
      <c r="S35" s="671">
        <v>0</v>
      </c>
      <c r="T35" s="671">
        <v>0</v>
      </c>
      <c r="U35" s="671">
        <v>0</v>
      </c>
      <c r="V35" s="671">
        <v>0</v>
      </c>
      <c r="W35" s="671">
        <v>0</v>
      </c>
      <c r="X35" s="671">
        <v>1400</v>
      </c>
      <c r="Y35" s="671" t="s">
        <v>159</v>
      </c>
      <c r="Z35" s="673" t="s">
        <v>156</v>
      </c>
    </row>
    <row r="36" spans="1:26" s="625" customFormat="1" ht="25.5">
      <c r="A36" s="624"/>
      <c r="B36" s="851">
        <v>44021</v>
      </c>
      <c r="C36" s="851">
        <v>9000</v>
      </c>
      <c r="D36" s="672" t="s">
        <v>847</v>
      </c>
      <c r="E36" s="671" t="s">
        <v>848</v>
      </c>
      <c r="F36" s="671" t="s">
        <v>851</v>
      </c>
      <c r="G36" s="671" t="s">
        <v>821</v>
      </c>
      <c r="H36" s="671" t="s">
        <v>831</v>
      </c>
      <c r="I36" s="671" t="s">
        <v>852</v>
      </c>
      <c r="J36" s="850">
        <v>41795</v>
      </c>
      <c r="K36" s="850">
        <v>42221</v>
      </c>
      <c r="L36" s="671" t="s">
        <v>824</v>
      </c>
      <c r="M36" s="671">
        <v>238</v>
      </c>
      <c r="N36" s="671">
        <v>357</v>
      </c>
      <c r="O36" s="671">
        <v>510</v>
      </c>
      <c r="P36" s="671">
        <v>1020.0000000000001</v>
      </c>
      <c r="Q36" s="671">
        <v>0</v>
      </c>
      <c r="R36" s="671">
        <v>0</v>
      </c>
      <c r="S36" s="671">
        <v>0</v>
      </c>
      <c r="T36" s="671">
        <v>0</v>
      </c>
      <c r="U36" s="671">
        <v>0</v>
      </c>
      <c r="V36" s="671">
        <v>0</v>
      </c>
      <c r="W36" s="671">
        <v>0</v>
      </c>
      <c r="X36" s="671">
        <v>1400</v>
      </c>
      <c r="Y36" s="671" t="s">
        <v>159</v>
      </c>
      <c r="Z36" s="673" t="s">
        <v>156</v>
      </c>
    </row>
    <row r="37" spans="1:26" s="625" customFormat="1" ht="25.5">
      <c r="A37" s="624"/>
      <c r="B37" s="851">
        <v>44021</v>
      </c>
      <c r="C37" s="851">
        <v>9000</v>
      </c>
      <c r="D37" s="672" t="s">
        <v>853</v>
      </c>
      <c r="E37" s="671" t="s">
        <v>854</v>
      </c>
      <c r="F37" s="671" t="s">
        <v>855</v>
      </c>
      <c r="G37" s="671" t="s">
        <v>821</v>
      </c>
      <c r="H37" s="671" t="s">
        <v>831</v>
      </c>
      <c r="I37" s="671" t="s">
        <v>854</v>
      </c>
      <c r="J37" s="850">
        <v>42110</v>
      </c>
      <c r="K37" s="850">
        <v>42110</v>
      </c>
      <c r="L37" s="671" t="s">
        <v>824</v>
      </c>
      <c r="M37" s="671">
        <v>9</v>
      </c>
      <c r="N37" s="671">
        <v>26.999999999999996</v>
      </c>
      <c r="O37" s="671">
        <v>38.571428571428569</v>
      </c>
      <c r="P37" s="671">
        <v>77.142857142857139</v>
      </c>
      <c r="Q37" s="671">
        <v>0</v>
      </c>
      <c r="R37" s="671">
        <v>0</v>
      </c>
      <c r="S37" s="671">
        <v>0</v>
      </c>
      <c r="T37" s="671">
        <v>0</v>
      </c>
      <c r="U37" s="671">
        <v>0</v>
      </c>
      <c r="V37" s="671">
        <v>0</v>
      </c>
      <c r="W37" s="671">
        <v>0</v>
      </c>
      <c r="X37" s="671">
        <v>1200</v>
      </c>
      <c r="Y37" s="671" t="s">
        <v>856</v>
      </c>
      <c r="Z37" s="673" t="s">
        <v>156</v>
      </c>
    </row>
    <row r="38" spans="1:26" s="625" customFormat="1" ht="25.5">
      <c r="A38" s="624"/>
      <c r="B38" s="851">
        <v>44021</v>
      </c>
      <c r="C38" s="851">
        <v>9000</v>
      </c>
      <c r="D38" s="672" t="s">
        <v>857</v>
      </c>
      <c r="E38" s="671" t="s">
        <v>858</v>
      </c>
      <c r="F38" s="671" t="s">
        <v>859</v>
      </c>
      <c r="G38" s="671" t="s">
        <v>821</v>
      </c>
      <c r="H38" s="671" t="s">
        <v>831</v>
      </c>
      <c r="I38" s="671" t="s">
        <v>860</v>
      </c>
      <c r="J38" s="850">
        <v>42040</v>
      </c>
      <c r="K38" s="850">
        <v>42040</v>
      </c>
      <c r="L38" s="671" t="s">
        <v>824</v>
      </c>
      <c r="M38" s="671">
        <v>9</v>
      </c>
      <c r="N38" s="671">
        <v>33.75</v>
      </c>
      <c r="O38" s="671">
        <v>48.214285714285715</v>
      </c>
      <c r="P38" s="671">
        <v>96.428571428571431</v>
      </c>
      <c r="Q38" s="671">
        <v>0</v>
      </c>
      <c r="R38" s="671">
        <v>0</v>
      </c>
      <c r="S38" s="671">
        <v>0</v>
      </c>
      <c r="T38" s="671">
        <v>0</v>
      </c>
      <c r="U38" s="671">
        <v>0</v>
      </c>
      <c r="V38" s="671">
        <v>0</v>
      </c>
      <c r="W38" s="671">
        <v>0</v>
      </c>
      <c r="X38" s="671">
        <v>1100</v>
      </c>
      <c r="Y38" s="671" t="s">
        <v>52</v>
      </c>
      <c r="Z38" s="673" t="s">
        <v>156</v>
      </c>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3363.5</v>
      </c>
      <c r="N57" s="629">
        <f>SUM(N27:N56)</f>
        <v>13687.5</v>
      </c>
      <c r="O57" s="629">
        <f t="shared" ref="O57:W57" si="2">SUM(O27:O56)</f>
        <v>16551.991071428569</v>
      </c>
      <c r="P57" s="629">
        <f t="shared" si="2"/>
        <v>10722.857142857143</v>
      </c>
      <c r="Q57" s="629">
        <f t="shared" si="2"/>
        <v>0</v>
      </c>
      <c r="R57" s="629">
        <f t="shared" si="2"/>
        <v>0</v>
      </c>
      <c r="S57" s="629">
        <f t="shared" si="2"/>
        <v>6187.5</v>
      </c>
      <c r="T57" s="629">
        <f t="shared" si="2"/>
        <v>18562.5</v>
      </c>
      <c r="U57" s="629">
        <f t="shared" si="2"/>
        <v>101.25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2200</v>
      </c>
      <c r="N58" s="629">
        <f t="shared" ref="N58:W58" si="3">SUMIF($Z$27:$Z$56,"industrie",N27:N56)</f>
        <v>9900</v>
      </c>
      <c r="O58" s="629">
        <f t="shared" si="3"/>
        <v>11137.5</v>
      </c>
      <c r="P58" s="629">
        <f t="shared" si="3"/>
        <v>0</v>
      </c>
      <c r="Q58" s="629">
        <f t="shared" si="3"/>
        <v>0</v>
      </c>
      <c r="R58" s="629">
        <f t="shared" si="3"/>
        <v>0</v>
      </c>
      <c r="S58" s="629">
        <f t="shared" si="3"/>
        <v>6187.5</v>
      </c>
      <c r="T58" s="629">
        <f t="shared" si="3"/>
        <v>18562.5</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1163.5</v>
      </c>
      <c r="N59" s="629">
        <f ca="1">SUMIF($Z$27:AB56,"tertiair",N27:N56)</f>
        <v>3787.5</v>
      </c>
      <c r="O59" s="629">
        <f ca="1">SUMIF($Z$27:AC56,"tertiair",O27:O56)</f>
        <v>5414.4910714285716</v>
      </c>
      <c r="P59" s="629">
        <f ca="1">SUMIF($Z$27:AD56,"tertiair",P27:P56)</f>
        <v>10722.857142857143</v>
      </c>
      <c r="Q59" s="629">
        <f ca="1">SUMIF($Z$27:AE56,"tertiair",Q27:Q56)</f>
        <v>0</v>
      </c>
      <c r="R59" s="629">
        <f ca="1">SUMIF($Z$27:AF56,"tertiair",R27:R56)</f>
        <v>0</v>
      </c>
      <c r="S59" s="629">
        <f ca="1">SUMIF($Z$27:AG56,"tertiair",S27:S56)</f>
        <v>0</v>
      </c>
      <c r="T59" s="629">
        <f ca="1">SUMIF($Z$27:AH56,"tertiair",T27:T56)</f>
        <v>0</v>
      </c>
      <c r="U59" s="629">
        <f ca="1">SUMIF($Z$27:AI56,"tertiair",U27:U56)</f>
        <v>101.25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44021</v>
      </c>
      <c r="C63" s="851">
        <v>9000</v>
      </c>
      <c r="D63" s="674" t="s">
        <v>861</v>
      </c>
      <c r="E63" s="674" t="s">
        <v>862</v>
      </c>
      <c r="F63" s="674" t="s">
        <v>863</v>
      </c>
      <c r="G63" s="674" t="s">
        <v>864</v>
      </c>
      <c r="H63" s="674" t="s">
        <v>865</v>
      </c>
      <c r="I63" s="674" t="s">
        <v>866</v>
      </c>
      <c r="J63" s="850">
        <v>38292</v>
      </c>
      <c r="K63" s="850">
        <v>38687</v>
      </c>
      <c r="L63" s="674" t="s">
        <v>867</v>
      </c>
      <c r="M63" s="674">
        <v>413</v>
      </c>
      <c r="N63" s="674">
        <v>1858.5</v>
      </c>
      <c r="O63" s="674">
        <v>0</v>
      </c>
      <c r="P63" s="674">
        <v>0</v>
      </c>
      <c r="Q63" s="674">
        <v>5310</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413</v>
      </c>
      <c r="N88" s="629">
        <f t="shared" ref="N88:W88" si="5">SUM(N63:N87)</f>
        <v>1858.5</v>
      </c>
      <c r="O88" s="629">
        <f t="shared" si="5"/>
        <v>0</v>
      </c>
      <c r="P88" s="629">
        <f t="shared" si="5"/>
        <v>0</v>
      </c>
      <c r="Q88" s="629">
        <f t="shared" si="5"/>
        <v>5310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413</v>
      </c>
      <c r="N90" s="629">
        <f t="shared" ref="N90:W90" si="7">SUMIF($Z$63:$Z$88,"tertiair",N63:N88)</f>
        <v>1858.5</v>
      </c>
      <c r="O90" s="629">
        <f t="shared" si="7"/>
        <v>0</v>
      </c>
      <c r="P90" s="629">
        <f t="shared" si="7"/>
        <v>0</v>
      </c>
      <c r="Q90" s="629">
        <f t="shared" si="7"/>
        <v>5310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0.54736341403137978</v>
      </c>
      <c r="C97" s="654">
        <f>IF(ISERROR(N57/(O57+N57)),0,N57/(N57+O57))</f>
        <v>0.45263658596862016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4853.5574489720902</v>
      </c>
      <c r="C100" s="663">
        <f t="shared" si="9"/>
        <v>0</v>
      </c>
      <c r="D100" s="663">
        <f t="shared" si="9"/>
        <v>0</v>
      </c>
      <c r="E100" s="663">
        <f t="shared" si="9"/>
        <v>2800.6888756808371</v>
      </c>
      <c r="F100" s="663">
        <f t="shared" si="9"/>
        <v>8402.0666270425118</v>
      </c>
      <c r="G100" s="663">
        <f t="shared" si="9"/>
        <v>45.829454329322793</v>
      </c>
      <c r="H100" s="663">
        <f t="shared" si="9"/>
        <v>0</v>
      </c>
      <c r="I100" s="664">
        <f t="shared" si="9"/>
        <v>0</v>
      </c>
      <c r="J100" s="621"/>
      <c r="K100" s="621"/>
      <c r="L100" s="659"/>
      <c r="M100" s="646"/>
      <c r="N100" s="646"/>
    </row>
    <row r="101" spans="1:14" ht="15.75" thickBot="1">
      <c r="A101" s="665" t="s">
        <v>286</v>
      </c>
      <c r="B101" s="666">
        <f>$B$97*P57</f>
        <v>5869.2996938850529</v>
      </c>
      <c r="C101" s="666">
        <f t="shared" ref="C101:H101" si="10">$B$97*Q57</f>
        <v>0</v>
      </c>
      <c r="D101" s="666">
        <f t="shared" si="10"/>
        <v>0</v>
      </c>
      <c r="E101" s="666">
        <f t="shared" si="10"/>
        <v>3386.8111243191624</v>
      </c>
      <c r="F101" s="666">
        <f t="shared" si="10"/>
        <v>10160.433372957486</v>
      </c>
      <c r="G101" s="666">
        <f t="shared" si="10"/>
        <v>55.4205456706772</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726602.90107999987</v>
      </c>
      <c r="D10" s="718">
        <f ca="1">tertiair!C16</f>
        <v>5414.4910714285716</v>
      </c>
      <c r="E10" s="718">
        <f ca="1">tertiair!D16</f>
        <v>782081.69397039886</v>
      </c>
      <c r="F10" s="718">
        <f>tertiair!E16</f>
        <v>10634.293828533542</v>
      </c>
      <c r="G10" s="718">
        <f ca="1">tertiair!F16</f>
        <v>194535.13653281383</v>
      </c>
      <c r="H10" s="718">
        <f>tertiair!G16</f>
        <v>0</v>
      </c>
      <c r="I10" s="718">
        <f>tertiair!H16</f>
        <v>0</v>
      </c>
      <c r="J10" s="718">
        <f>tertiair!I16</f>
        <v>0</v>
      </c>
      <c r="K10" s="718">
        <f>tertiair!J16</f>
        <v>0</v>
      </c>
      <c r="L10" s="718">
        <f>tertiair!K16</f>
        <v>0</v>
      </c>
      <c r="M10" s="718">
        <f ca="1">tertiair!L16</f>
        <v>0</v>
      </c>
      <c r="N10" s="718">
        <f>tertiair!M16</f>
        <v>0</v>
      </c>
      <c r="O10" s="718">
        <f ca="1">tertiair!N16</f>
        <v>39507.343035667196</v>
      </c>
      <c r="P10" s="718">
        <f>tertiair!O16</f>
        <v>42.21</v>
      </c>
      <c r="Q10" s="719">
        <f>tertiair!P16</f>
        <v>343.2</v>
      </c>
      <c r="R10" s="721">
        <f ca="1">SUM(C10:Q10)</f>
        <v>1759161.2695188418</v>
      </c>
      <c r="S10" s="67"/>
    </row>
    <row r="11" spans="1:19" s="474" customFormat="1">
      <c r="A11" s="870" t="s">
        <v>225</v>
      </c>
      <c r="B11" s="875"/>
      <c r="C11" s="718">
        <f>huishoudens!B8</f>
        <v>371794.22031282459</v>
      </c>
      <c r="D11" s="718">
        <f>huishoudens!C8</f>
        <v>0</v>
      </c>
      <c r="E11" s="718">
        <f>huishoudens!D8</f>
        <v>1054921.485139047</v>
      </c>
      <c r="F11" s="718">
        <f>huishoudens!E8</f>
        <v>26747.768832896822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78135.868571396932</v>
      </c>
      <c r="P11" s="718">
        <f>huishoudens!O8</f>
        <v>2215.2433333333338</v>
      </c>
      <c r="Q11" s="719">
        <f>huishoudens!P8</f>
        <v>4652.2666666666664</v>
      </c>
      <c r="R11" s="721">
        <f>SUM(C11:Q11)</f>
        <v>1538466.8528561655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354069.16606007004</v>
      </c>
      <c r="D13" s="718">
        <f>industrie!C18</f>
        <v>11137.5</v>
      </c>
      <c r="E13" s="718">
        <f>industrie!D18</f>
        <v>291279.30966680835</v>
      </c>
      <c r="F13" s="718">
        <f>industrie!E18</f>
        <v>17704.833241203756</v>
      </c>
      <c r="G13" s="718">
        <f>industrie!F18</f>
        <v>76632.011766524025</v>
      </c>
      <c r="H13" s="718">
        <f>industrie!G18</f>
        <v>0</v>
      </c>
      <c r="I13" s="718">
        <f>industrie!H18</f>
        <v>0</v>
      </c>
      <c r="J13" s="718">
        <f>industrie!I18</f>
        <v>0</v>
      </c>
      <c r="K13" s="718">
        <f>industrie!J18</f>
        <v>2447.9942306672247</v>
      </c>
      <c r="L13" s="718">
        <f>industrie!K18</f>
        <v>0</v>
      </c>
      <c r="M13" s="718">
        <f>industrie!L18</f>
        <v>0</v>
      </c>
      <c r="N13" s="718">
        <f>industrie!M18</f>
        <v>0</v>
      </c>
      <c r="O13" s="718">
        <f>industrie!N18</f>
        <v>73700.540343039349</v>
      </c>
      <c r="P13" s="718">
        <f>industrie!O18</f>
        <v>0</v>
      </c>
      <c r="Q13" s="719">
        <f>industrie!P18</f>
        <v>0</v>
      </c>
      <c r="R13" s="721">
        <f>SUM(C13:Q13)</f>
        <v>826971.35530831281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1452466.2874528945</v>
      </c>
      <c r="D15" s="723">
        <f t="shared" ref="D15:Q15" ca="1" si="0">SUM(D9:D14)</f>
        <v>16551.991071428572</v>
      </c>
      <c r="E15" s="723">
        <f t="shared" ca="1" si="0"/>
        <v>2128282.488776254</v>
      </c>
      <c r="F15" s="723">
        <f t="shared" si="0"/>
        <v>55086.895902634118</v>
      </c>
      <c r="G15" s="723">
        <f t="shared" ca="1" si="0"/>
        <v>271167.14829933783</v>
      </c>
      <c r="H15" s="723">
        <f t="shared" si="0"/>
        <v>0</v>
      </c>
      <c r="I15" s="723">
        <f t="shared" si="0"/>
        <v>0</v>
      </c>
      <c r="J15" s="723">
        <f t="shared" si="0"/>
        <v>0</v>
      </c>
      <c r="K15" s="723">
        <f t="shared" si="0"/>
        <v>2447.9942306672247</v>
      </c>
      <c r="L15" s="723">
        <f t="shared" si="0"/>
        <v>0</v>
      </c>
      <c r="M15" s="723">
        <f t="shared" ca="1" si="0"/>
        <v>0</v>
      </c>
      <c r="N15" s="723">
        <f t="shared" si="0"/>
        <v>0</v>
      </c>
      <c r="O15" s="723">
        <f t="shared" ca="1" si="0"/>
        <v>191343.75195010347</v>
      </c>
      <c r="P15" s="723">
        <f t="shared" si="0"/>
        <v>2257.4533333333338</v>
      </c>
      <c r="Q15" s="724">
        <f t="shared" si="0"/>
        <v>4995.4666666666662</v>
      </c>
      <c r="R15" s="725">
        <f ca="1">SUM(R9:R14)</f>
        <v>4124599.4776833202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9252.2015696609033</v>
      </c>
      <c r="D18" s="718">
        <f>transport!C54</f>
        <v>0</v>
      </c>
      <c r="E18" s="718">
        <f>transport!D54</f>
        <v>0</v>
      </c>
      <c r="F18" s="718">
        <f>transport!E54</f>
        <v>0</v>
      </c>
      <c r="G18" s="718">
        <f>transport!F54</f>
        <v>0</v>
      </c>
      <c r="H18" s="718">
        <f>transport!G54</f>
        <v>37287.257029267748</v>
      </c>
      <c r="I18" s="718">
        <f>transport!H54</f>
        <v>0</v>
      </c>
      <c r="J18" s="718">
        <f>transport!I54</f>
        <v>0</v>
      </c>
      <c r="K18" s="718">
        <f>transport!J54</f>
        <v>0</v>
      </c>
      <c r="L18" s="718">
        <f>transport!K54</f>
        <v>0</v>
      </c>
      <c r="M18" s="718">
        <f>transport!L54</f>
        <v>0</v>
      </c>
      <c r="N18" s="718">
        <f>transport!M54</f>
        <v>1156.5672946643438</v>
      </c>
      <c r="O18" s="718">
        <f>transport!N54</f>
        <v>0</v>
      </c>
      <c r="P18" s="718">
        <f>transport!O54</f>
        <v>0</v>
      </c>
      <c r="Q18" s="719">
        <f>transport!P54</f>
        <v>0</v>
      </c>
      <c r="R18" s="721">
        <f>SUM(C18:Q18)</f>
        <v>47696.025893592996</v>
      </c>
      <c r="S18" s="67"/>
    </row>
    <row r="19" spans="1:19" s="474" customFormat="1" ht="15" thickBot="1">
      <c r="A19" s="870" t="s">
        <v>307</v>
      </c>
      <c r="B19" s="875"/>
      <c r="C19" s="727">
        <f>transport!B14</f>
        <v>451.76286372529546</v>
      </c>
      <c r="D19" s="727">
        <f>transport!C14</f>
        <v>0</v>
      </c>
      <c r="E19" s="727">
        <f>transport!D14</f>
        <v>1047.9422163668987</v>
      </c>
      <c r="F19" s="727">
        <f>transport!E14</f>
        <v>4501.685244664056</v>
      </c>
      <c r="G19" s="727">
        <f>transport!F14</f>
        <v>0</v>
      </c>
      <c r="H19" s="727">
        <f>transport!G14</f>
        <v>1722786.8568646018</v>
      </c>
      <c r="I19" s="727">
        <f>transport!H14</f>
        <v>286967.42203293275</v>
      </c>
      <c r="J19" s="727">
        <f>transport!I14</f>
        <v>0</v>
      </c>
      <c r="K19" s="727">
        <f>transport!J14</f>
        <v>0</v>
      </c>
      <c r="L19" s="727">
        <f>transport!K14</f>
        <v>0</v>
      </c>
      <c r="M19" s="727">
        <f>transport!L14</f>
        <v>0</v>
      </c>
      <c r="N19" s="727">
        <f>transport!M14</f>
        <v>62872.764288158549</v>
      </c>
      <c r="O19" s="727">
        <f>transport!N14</f>
        <v>0</v>
      </c>
      <c r="P19" s="727">
        <f>transport!O14</f>
        <v>0</v>
      </c>
      <c r="Q19" s="728">
        <f>transport!P14</f>
        <v>0</v>
      </c>
      <c r="R19" s="729">
        <f>SUM(C19:Q19)</f>
        <v>2078628.4335104495</v>
      </c>
      <c r="S19" s="67"/>
    </row>
    <row r="20" spans="1:19" s="474" customFormat="1" ht="15.75" thickBot="1">
      <c r="A20" s="730" t="s">
        <v>230</v>
      </c>
      <c r="B20" s="878"/>
      <c r="C20" s="873">
        <f>SUM(C17:C19)</f>
        <v>9703.9644333861979</v>
      </c>
      <c r="D20" s="731">
        <f t="shared" ref="D20:R20" si="1">SUM(D17:D19)</f>
        <v>0</v>
      </c>
      <c r="E20" s="731">
        <f t="shared" si="1"/>
        <v>1047.9422163668987</v>
      </c>
      <c r="F20" s="731">
        <f t="shared" si="1"/>
        <v>4501.685244664056</v>
      </c>
      <c r="G20" s="731">
        <f t="shared" si="1"/>
        <v>0</v>
      </c>
      <c r="H20" s="731">
        <f t="shared" si="1"/>
        <v>1760074.1138938696</v>
      </c>
      <c r="I20" s="731">
        <f t="shared" si="1"/>
        <v>286967.42203293275</v>
      </c>
      <c r="J20" s="731">
        <f t="shared" si="1"/>
        <v>0</v>
      </c>
      <c r="K20" s="731">
        <f t="shared" si="1"/>
        <v>0</v>
      </c>
      <c r="L20" s="731">
        <f t="shared" si="1"/>
        <v>0</v>
      </c>
      <c r="M20" s="731">
        <f t="shared" si="1"/>
        <v>0</v>
      </c>
      <c r="N20" s="731">
        <f t="shared" si="1"/>
        <v>64029.331582822895</v>
      </c>
      <c r="O20" s="731">
        <f t="shared" si="1"/>
        <v>0</v>
      </c>
      <c r="P20" s="731">
        <f t="shared" si="1"/>
        <v>0</v>
      </c>
      <c r="Q20" s="732">
        <f t="shared" si="1"/>
        <v>0</v>
      </c>
      <c r="R20" s="733">
        <f t="shared" si="1"/>
        <v>2126324.4594040425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3879.8186854999994</v>
      </c>
      <c r="D22" s="727">
        <f>+landbouw!C8</f>
        <v>0</v>
      </c>
      <c r="E22" s="727">
        <f>+landbouw!D8</f>
        <v>90222.429846293802</v>
      </c>
      <c r="F22" s="727">
        <f>+landbouw!E8</f>
        <v>100.04562711758044</v>
      </c>
      <c r="G22" s="727">
        <f>+landbouw!F8</f>
        <v>14181.47617107869</v>
      </c>
      <c r="H22" s="727">
        <f>+landbouw!G8</f>
        <v>0</v>
      </c>
      <c r="I22" s="727">
        <f>+landbouw!H8</f>
        <v>0</v>
      </c>
      <c r="J22" s="727">
        <f>+landbouw!I8</f>
        <v>0</v>
      </c>
      <c r="K22" s="727">
        <f>+landbouw!J8</f>
        <v>558.55116515250677</v>
      </c>
      <c r="L22" s="727">
        <f>+landbouw!K8</f>
        <v>0</v>
      </c>
      <c r="M22" s="727">
        <f>+landbouw!L8</f>
        <v>0</v>
      </c>
      <c r="N22" s="727">
        <f>+landbouw!M8</f>
        <v>0</v>
      </c>
      <c r="O22" s="727">
        <f>+landbouw!N8</f>
        <v>0</v>
      </c>
      <c r="P22" s="727">
        <f>+landbouw!O8</f>
        <v>0</v>
      </c>
      <c r="Q22" s="728">
        <f>+landbouw!P8</f>
        <v>0</v>
      </c>
      <c r="R22" s="729">
        <f>SUM(C22:Q22)</f>
        <v>108942.32149514256</v>
      </c>
      <c r="S22" s="67"/>
    </row>
    <row r="23" spans="1:19" s="474" customFormat="1" ht="17.25" thickTop="1" thickBot="1">
      <c r="A23" s="734" t="s">
        <v>116</v>
      </c>
      <c r="B23" s="864"/>
      <c r="C23" s="735">
        <f ca="1">C20+C15+C22</f>
        <v>1466050.0705717807</v>
      </c>
      <c r="D23" s="735">
        <f t="shared" ref="D23:Q23" ca="1" si="2">D20+D15+D22</f>
        <v>16551.991071428572</v>
      </c>
      <c r="E23" s="735">
        <f t="shared" ca="1" si="2"/>
        <v>2219552.8608389148</v>
      </c>
      <c r="F23" s="735">
        <f t="shared" si="2"/>
        <v>59688.626774415752</v>
      </c>
      <c r="G23" s="735">
        <f t="shared" ca="1" si="2"/>
        <v>285348.62447041651</v>
      </c>
      <c r="H23" s="735">
        <f t="shared" si="2"/>
        <v>1760074.1138938696</v>
      </c>
      <c r="I23" s="735">
        <f t="shared" si="2"/>
        <v>286967.42203293275</v>
      </c>
      <c r="J23" s="735">
        <f t="shared" si="2"/>
        <v>0</v>
      </c>
      <c r="K23" s="735">
        <f t="shared" si="2"/>
        <v>3006.5453958197313</v>
      </c>
      <c r="L23" s="735">
        <f t="shared" si="2"/>
        <v>0</v>
      </c>
      <c r="M23" s="735">
        <f t="shared" ca="1" si="2"/>
        <v>0</v>
      </c>
      <c r="N23" s="735">
        <f t="shared" si="2"/>
        <v>64029.331582822895</v>
      </c>
      <c r="O23" s="735">
        <f t="shared" ca="1" si="2"/>
        <v>191343.75195010347</v>
      </c>
      <c r="P23" s="735">
        <f t="shared" si="2"/>
        <v>2257.4533333333338</v>
      </c>
      <c r="Q23" s="736">
        <f t="shared" si="2"/>
        <v>4995.4666666666662</v>
      </c>
      <c r="R23" s="737">
        <f ca="1">R20+R15+R22</f>
        <v>6359866.2585825054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142165.29167553305</v>
      </c>
      <c r="D36" s="718">
        <f ca="1">tertiair!C20</f>
        <v>683.64107343677449</v>
      </c>
      <c r="E36" s="718">
        <f ca="1">tertiair!D20</f>
        <v>157980.50218202057</v>
      </c>
      <c r="F36" s="718">
        <f>tertiair!E20</f>
        <v>2413.9846990771143</v>
      </c>
      <c r="G36" s="718">
        <f ca="1">tertiair!F20</f>
        <v>51940.881454261296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355184.30108432879</v>
      </c>
    </row>
    <row r="37" spans="1:18">
      <c r="A37" s="885" t="s">
        <v>225</v>
      </c>
      <c r="B37" s="892"/>
      <c r="C37" s="718">
        <f ca="1">huishoudens!B12</f>
        <v>72744.319759095699</v>
      </c>
      <c r="D37" s="718">
        <f ca="1">huishoudens!C12</f>
        <v>0</v>
      </c>
      <c r="E37" s="718">
        <f>huishoudens!D12</f>
        <v>213094.13999808751</v>
      </c>
      <c r="F37" s="718">
        <f>huishoudens!E12</f>
        <v>6071.743525067579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291910.20328225079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69276.280333348826</v>
      </c>
      <c r="D39" s="718">
        <f ca="1">industrie!C22</f>
        <v>1406.2360349212224</v>
      </c>
      <c r="E39" s="718">
        <f>industrie!D22</f>
        <v>58838.420552695286</v>
      </c>
      <c r="F39" s="718">
        <f>industrie!E22</f>
        <v>4018.9971457532529</v>
      </c>
      <c r="G39" s="718">
        <f>industrie!F22</f>
        <v>20460.747141661916</v>
      </c>
      <c r="H39" s="718">
        <f>industrie!G22</f>
        <v>0</v>
      </c>
      <c r="I39" s="718">
        <f>industrie!H22</f>
        <v>0</v>
      </c>
      <c r="J39" s="718">
        <f>industrie!I22</f>
        <v>0</v>
      </c>
      <c r="K39" s="718">
        <f>industrie!J22</f>
        <v>866.5899576561975</v>
      </c>
      <c r="L39" s="718">
        <f>industrie!K22</f>
        <v>0</v>
      </c>
      <c r="M39" s="718">
        <f>industrie!L22</f>
        <v>0</v>
      </c>
      <c r="N39" s="718">
        <f>industrie!M22</f>
        <v>0</v>
      </c>
      <c r="O39" s="718">
        <f>industrie!N22</f>
        <v>0</v>
      </c>
      <c r="P39" s="718">
        <f>industrie!O22</f>
        <v>0</v>
      </c>
      <c r="Q39" s="828">
        <f>industrie!P22</f>
        <v>0</v>
      </c>
      <c r="R39" s="918">
        <f ca="1">SUM(C39:Q39)</f>
        <v>154867.27116603669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284185.89176797756</v>
      </c>
      <c r="D41" s="763">
        <f t="shared" ref="D41:R41" ca="1" si="4">SUM(D35:D40)</f>
        <v>2089.8771083579968</v>
      </c>
      <c r="E41" s="763">
        <f t="shared" ca="1" si="4"/>
        <v>429913.0627328034</v>
      </c>
      <c r="F41" s="763">
        <f t="shared" si="4"/>
        <v>12504.725369897948</v>
      </c>
      <c r="G41" s="763">
        <f t="shared" ca="1" si="4"/>
        <v>72401.628595923219</v>
      </c>
      <c r="H41" s="763">
        <f t="shared" si="4"/>
        <v>0</v>
      </c>
      <c r="I41" s="763">
        <f t="shared" si="4"/>
        <v>0</v>
      </c>
      <c r="J41" s="763">
        <f t="shared" si="4"/>
        <v>0</v>
      </c>
      <c r="K41" s="763">
        <f t="shared" si="4"/>
        <v>866.5899576561975</v>
      </c>
      <c r="L41" s="763">
        <f t="shared" si="4"/>
        <v>0</v>
      </c>
      <c r="M41" s="763">
        <f t="shared" ca="1" si="4"/>
        <v>0</v>
      </c>
      <c r="N41" s="763">
        <f t="shared" si="4"/>
        <v>0</v>
      </c>
      <c r="O41" s="763">
        <f t="shared" ca="1" si="4"/>
        <v>0</v>
      </c>
      <c r="P41" s="763">
        <f t="shared" si="4"/>
        <v>0</v>
      </c>
      <c r="Q41" s="764">
        <f t="shared" si="4"/>
        <v>0</v>
      </c>
      <c r="R41" s="765">
        <f t="shared" ca="1" si="4"/>
        <v>801961.7755326163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1810.2624319784352</v>
      </c>
      <c r="D44" s="718">
        <f ca="1">transport!C58</f>
        <v>0</v>
      </c>
      <c r="E44" s="718">
        <f>transport!D58</f>
        <v>0</v>
      </c>
      <c r="F44" s="718">
        <f>transport!E58</f>
        <v>0</v>
      </c>
      <c r="G44" s="718">
        <f>transport!F58</f>
        <v>0</v>
      </c>
      <c r="H44" s="718">
        <f>transport!G58</f>
        <v>9955.6976268144899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11765.960058792925</v>
      </c>
    </row>
    <row r="45" spans="1:18" ht="15" thickBot="1">
      <c r="A45" s="888" t="s">
        <v>307</v>
      </c>
      <c r="B45" s="898"/>
      <c r="C45" s="727">
        <f ca="1">transport!B18</f>
        <v>88.390782907993724</v>
      </c>
      <c r="D45" s="727">
        <f>transport!C18</f>
        <v>0</v>
      </c>
      <c r="E45" s="727">
        <f>transport!D18</f>
        <v>211.68432770611355</v>
      </c>
      <c r="F45" s="727">
        <f>transport!E18</f>
        <v>1021.8825505387407</v>
      </c>
      <c r="G45" s="727">
        <f>transport!F18</f>
        <v>0</v>
      </c>
      <c r="H45" s="727">
        <f>transport!G18</f>
        <v>459984.09078284871</v>
      </c>
      <c r="I45" s="727">
        <f>transport!H18</f>
        <v>71454.888086200255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532760.93653020181</v>
      </c>
    </row>
    <row r="46" spans="1:18" ht="15.75" thickBot="1">
      <c r="A46" s="886" t="s">
        <v>230</v>
      </c>
      <c r="B46" s="899"/>
      <c r="C46" s="763">
        <f t="shared" ref="C46:R46" ca="1" si="5">SUM(C43:C45)</f>
        <v>1898.6532148864289</v>
      </c>
      <c r="D46" s="763">
        <f t="shared" ca="1" si="5"/>
        <v>0</v>
      </c>
      <c r="E46" s="763">
        <f t="shared" si="5"/>
        <v>211.68432770611355</v>
      </c>
      <c r="F46" s="763">
        <f t="shared" si="5"/>
        <v>1021.8825505387407</v>
      </c>
      <c r="G46" s="763">
        <f t="shared" si="5"/>
        <v>0</v>
      </c>
      <c r="H46" s="763">
        <f t="shared" si="5"/>
        <v>469939.78840966319</v>
      </c>
      <c r="I46" s="763">
        <f t="shared" si="5"/>
        <v>71454.888086200255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544526.89658899477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759.11554200023966</v>
      </c>
      <c r="D48" s="718">
        <f ca="1">+landbouw!C12</f>
        <v>0</v>
      </c>
      <c r="E48" s="718">
        <f>+landbouw!D12</f>
        <v>18224.93082895135</v>
      </c>
      <c r="F48" s="718">
        <f>+landbouw!E12</f>
        <v>22.710357355690761</v>
      </c>
      <c r="G48" s="718">
        <f>+landbouw!F12</f>
        <v>3786.4541376780103</v>
      </c>
      <c r="H48" s="718">
        <f>+landbouw!G12</f>
        <v>0</v>
      </c>
      <c r="I48" s="718">
        <f>+landbouw!H12</f>
        <v>0</v>
      </c>
      <c r="J48" s="718">
        <f>+landbouw!I12</f>
        <v>0</v>
      </c>
      <c r="K48" s="718">
        <f>+landbouw!J12</f>
        <v>197.7271124639874</v>
      </c>
      <c r="L48" s="718">
        <f>+landbouw!K12</f>
        <v>0</v>
      </c>
      <c r="M48" s="718">
        <f>+landbouw!L12</f>
        <v>0</v>
      </c>
      <c r="N48" s="718">
        <f>+landbouw!M12</f>
        <v>0</v>
      </c>
      <c r="O48" s="718">
        <f>+landbouw!N12</f>
        <v>0</v>
      </c>
      <c r="P48" s="718">
        <f>+landbouw!O12</f>
        <v>0</v>
      </c>
      <c r="Q48" s="719">
        <f>+landbouw!P12</f>
        <v>0</v>
      </c>
      <c r="R48" s="761">
        <f ca="1">SUM(C48:Q48)</f>
        <v>22990.937978449281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286843.66052486422</v>
      </c>
      <c r="D53" s="773">
        <f t="shared" ref="D53:Q53" ca="1" si="6">D41+D46+D48</f>
        <v>2089.8771083579968</v>
      </c>
      <c r="E53" s="773">
        <f t="shared" ca="1" si="6"/>
        <v>448349.67788946087</v>
      </c>
      <c r="F53" s="773">
        <f t="shared" si="6"/>
        <v>13549.318277792379</v>
      </c>
      <c r="G53" s="773">
        <f t="shared" ca="1" si="6"/>
        <v>76188.08273360123</v>
      </c>
      <c r="H53" s="773">
        <f t="shared" si="6"/>
        <v>469939.78840966319</v>
      </c>
      <c r="I53" s="773">
        <f t="shared" si="6"/>
        <v>71454.888086200255</v>
      </c>
      <c r="J53" s="773">
        <f t="shared" si="6"/>
        <v>0</v>
      </c>
      <c r="K53" s="773">
        <f t="shared" si="6"/>
        <v>1064.3170701201848</v>
      </c>
      <c r="L53" s="773">
        <f t="shared" si="6"/>
        <v>0</v>
      </c>
      <c r="M53" s="773">
        <f t="shared" ca="1" si="6"/>
        <v>0</v>
      </c>
      <c r="N53" s="773">
        <f t="shared" si="6"/>
        <v>0</v>
      </c>
      <c r="O53" s="773">
        <f t="shared" ca="1" si="6"/>
        <v>0</v>
      </c>
      <c r="P53" s="773">
        <f>P41+P46+P48</f>
        <v>0</v>
      </c>
      <c r="Q53" s="774">
        <f t="shared" si="6"/>
        <v>0</v>
      </c>
      <c r="R53" s="775">
        <f ca="1">R41+R46+R48</f>
        <v>1369479.6101000602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0.19565747874695102</v>
      </c>
      <c r="D55" s="836">
        <f t="shared" ca="1" si="7"/>
        <v>0.12626137238349919</v>
      </c>
      <c r="E55" s="836">
        <f t="shared" ca="1" si="7"/>
        <v>0.20200000000000004</v>
      </c>
      <c r="F55" s="836">
        <f t="shared" si="7"/>
        <v>0.22700000000000006</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105030.72742600438</v>
      </c>
      <c r="C64" s="795">
        <f>'lokale energieproductie'!B4</f>
        <v>105030.72742600438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55358.148619237516</v>
      </c>
      <c r="C66" s="795">
        <f>'lokale energieproductie'!B6</f>
        <v>55358.148619237516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13687.5</v>
      </c>
      <c r="C67" s="794">
        <f>B67*IFERROR(SUM(J67:L67)/SUM(D67:M67),0)</f>
        <v>7181.0678789247795</v>
      </c>
      <c r="D67" s="826">
        <f>'lokale energieproductie'!C7</f>
        <v>4853.5574489720902</v>
      </c>
      <c r="E67" s="827">
        <f>'lokale energieproductie'!D7</f>
        <v>0</v>
      </c>
      <c r="F67" s="827">
        <f>'lokale energieproductie'!E7</f>
        <v>2800.6888756808371</v>
      </c>
      <c r="G67" s="827">
        <f>'lokale energieproductie'!F7</f>
        <v>0</v>
      </c>
      <c r="H67" s="827">
        <f>'lokale energieproductie'!G7</f>
        <v>0</v>
      </c>
      <c r="I67" s="827">
        <f>'lokale energieproductie'!H7</f>
        <v>0</v>
      </c>
      <c r="J67" s="827">
        <f>'lokale energieproductie'!I7</f>
        <v>8447.896081371835</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1728.2025344991457</v>
      </c>
      <c r="P67" s="922">
        <v>0</v>
      </c>
      <c r="Q67" s="785"/>
      <c r="R67" s="742"/>
    </row>
    <row r="68" spans="1:18" ht="30.75" thickBot="1">
      <c r="A68" s="801" t="s">
        <v>353</v>
      </c>
      <c r="B68" s="794">
        <f>'lokale energieproductie'!B8</f>
        <v>1858.5</v>
      </c>
      <c r="C68" s="794">
        <f>B68*IFERROR(SUM(J68:L68)/SUM(D68:M68),0)</f>
        <v>1858.5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5310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175934.87604524189</v>
      </c>
      <c r="C69" s="803">
        <f>SUM(C64:C68)</f>
        <v>169428.44392416667</v>
      </c>
      <c r="D69" s="804">
        <f t="shared" ref="D69:M69" si="8">SUM(D67:D68)</f>
        <v>4853.5574489720902</v>
      </c>
      <c r="E69" s="804">
        <f t="shared" si="8"/>
        <v>0</v>
      </c>
      <c r="F69" s="804">
        <f t="shared" si="8"/>
        <v>2800.6888756808371</v>
      </c>
      <c r="G69" s="804">
        <f t="shared" si="8"/>
        <v>0</v>
      </c>
      <c r="H69" s="804">
        <f t="shared" si="8"/>
        <v>0</v>
      </c>
      <c r="I69" s="804">
        <f t="shared" si="8"/>
        <v>0</v>
      </c>
      <c r="J69" s="804">
        <f t="shared" si="8"/>
        <v>8447.896081371835</v>
      </c>
      <c r="K69" s="804">
        <f t="shared" si="8"/>
        <v>5310</v>
      </c>
      <c r="L69" s="804">
        <f t="shared" si="8"/>
        <v>0</v>
      </c>
      <c r="M69" s="930">
        <f t="shared" si="8"/>
        <v>0</v>
      </c>
      <c r="N69" s="805">
        <v>0</v>
      </c>
      <c r="O69" s="805">
        <f>SUM(O67:O68)</f>
        <v>1728.2025344991457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16551.991071428569</v>
      </c>
      <c r="C78" s="817">
        <f>B78*IFERROR(SUM(I78:L78)/SUM(D78:M78),0)</f>
        <v>8683.9065874181142</v>
      </c>
      <c r="D78" s="832">
        <f>'lokale energieproductie'!C16</f>
        <v>5869.2996938850529</v>
      </c>
      <c r="E78" s="832">
        <f>'lokale energieproductie'!D16</f>
        <v>0</v>
      </c>
      <c r="F78" s="832">
        <f>'lokale energieproductie'!E16</f>
        <v>3386.8111243191624</v>
      </c>
      <c r="G78" s="832">
        <f>'lokale energieproductie'!F16</f>
        <v>0</v>
      </c>
      <c r="H78" s="832">
        <f>'lokale energieproductie'!G16</f>
        <v>0</v>
      </c>
      <c r="I78" s="832">
        <f>'lokale energieproductie'!H16</f>
        <v>0</v>
      </c>
      <c r="J78" s="832">
        <f>'lokale energieproductie'!I16</f>
        <v>10215.853918628163</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2089.8771083579973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16551.991071428569</v>
      </c>
      <c r="C81" s="803">
        <f>SUM(C78:C80)</f>
        <v>8683.9065874181142</v>
      </c>
      <c r="D81" s="803">
        <f t="shared" ref="D81:P81" si="9">SUM(D78:D80)</f>
        <v>5869.2996938850529</v>
      </c>
      <c r="E81" s="803">
        <f t="shared" si="9"/>
        <v>0</v>
      </c>
      <c r="F81" s="803">
        <f t="shared" si="9"/>
        <v>3386.8111243191624</v>
      </c>
      <c r="G81" s="803">
        <f t="shared" si="9"/>
        <v>0</v>
      </c>
      <c r="H81" s="803">
        <f t="shared" si="9"/>
        <v>0</v>
      </c>
      <c r="I81" s="803">
        <f t="shared" si="9"/>
        <v>0</v>
      </c>
      <c r="J81" s="803">
        <f t="shared" si="9"/>
        <v>10215.853918628163</v>
      </c>
      <c r="K81" s="803">
        <f t="shared" si="9"/>
        <v>0</v>
      </c>
      <c r="L81" s="803">
        <f t="shared" si="9"/>
        <v>0</v>
      </c>
      <c r="M81" s="803">
        <f t="shared" si="9"/>
        <v>0</v>
      </c>
      <c r="N81" s="803">
        <v>0</v>
      </c>
      <c r="O81" s="803">
        <f>SUM(O78:O80)</f>
        <v>2089.8771083579973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371794.22031282459</v>
      </c>
      <c r="C4" s="478">
        <f>huishoudens!C8</f>
        <v>0</v>
      </c>
      <c r="D4" s="478">
        <f>huishoudens!D8</f>
        <v>1054921.485139047</v>
      </c>
      <c r="E4" s="478">
        <f>huishoudens!E8</f>
        <v>26747.768832896822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78135.868571396932</v>
      </c>
      <c r="O4" s="478">
        <f>huishoudens!O8</f>
        <v>2215.2433333333338</v>
      </c>
      <c r="P4" s="479">
        <f>huishoudens!P8</f>
        <v>4652.2666666666664</v>
      </c>
      <c r="Q4" s="480">
        <f>SUM(B4:P4)</f>
        <v>1538466.8528561655</v>
      </c>
    </row>
    <row r="5" spans="1:17">
      <c r="A5" s="477" t="s">
        <v>156</v>
      </c>
      <c r="B5" s="478">
        <f ca="1">tertiair!B16</f>
        <v>712499.54367799987</v>
      </c>
      <c r="C5" s="478">
        <f ca="1">tertiair!C16</f>
        <v>5414.4910714285716</v>
      </c>
      <c r="D5" s="478">
        <f ca="1">tertiair!D16</f>
        <v>782081.69397039886</v>
      </c>
      <c r="E5" s="478">
        <f>tertiair!E16</f>
        <v>10634.293828533542</v>
      </c>
      <c r="F5" s="478">
        <f ca="1">tertiair!F16</f>
        <v>194535.13653281383</v>
      </c>
      <c r="G5" s="478">
        <f>tertiair!G16</f>
        <v>0</v>
      </c>
      <c r="H5" s="478">
        <f>tertiair!H16</f>
        <v>0</v>
      </c>
      <c r="I5" s="478">
        <f>tertiair!I16</f>
        <v>0</v>
      </c>
      <c r="J5" s="478">
        <f>tertiair!J16</f>
        <v>0</v>
      </c>
      <c r="K5" s="478">
        <f>tertiair!K16</f>
        <v>0</v>
      </c>
      <c r="L5" s="478">
        <f ca="1">tertiair!L16</f>
        <v>0</v>
      </c>
      <c r="M5" s="478">
        <f>tertiair!M16</f>
        <v>0</v>
      </c>
      <c r="N5" s="478">
        <f ca="1">tertiair!N16</f>
        <v>39507.343035667196</v>
      </c>
      <c r="O5" s="478">
        <f>tertiair!O16</f>
        <v>42.21</v>
      </c>
      <c r="P5" s="479">
        <f>tertiair!P16</f>
        <v>343.2</v>
      </c>
      <c r="Q5" s="477">
        <f t="shared" ref="Q5:Q13" ca="1" si="0">SUM(B5:P5)</f>
        <v>1745057.9121168416</v>
      </c>
    </row>
    <row r="6" spans="1:17">
      <c r="A6" s="477" t="s">
        <v>194</v>
      </c>
      <c r="B6" s="478">
        <f>'openbare verlichting'!B8</f>
        <v>14103.357402000001</v>
      </c>
      <c r="C6" s="478"/>
      <c r="D6" s="478"/>
      <c r="E6" s="478"/>
      <c r="F6" s="478"/>
      <c r="G6" s="478"/>
      <c r="H6" s="478"/>
      <c r="I6" s="478"/>
      <c r="J6" s="478"/>
      <c r="K6" s="478"/>
      <c r="L6" s="478"/>
      <c r="M6" s="478"/>
      <c r="N6" s="478"/>
      <c r="O6" s="478"/>
      <c r="P6" s="479"/>
      <c r="Q6" s="477">
        <f t="shared" si="0"/>
        <v>14103.357402000001</v>
      </c>
    </row>
    <row r="7" spans="1:17">
      <c r="A7" s="477" t="s">
        <v>112</v>
      </c>
      <c r="B7" s="478">
        <f>landbouw!B8</f>
        <v>3879.8186854999994</v>
      </c>
      <c r="C7" s="478">
        <f>landbouw!C8</f>
        <v>0</v>
      </c>
      <c r="D7" s="478">
        <f>landbouw!D8</f>
        <v>90222.429846293802</v>
      </c>
      <c r="E7" s="478">
        <f>landbouw!E8</f>
        <v>100.04562711758044</v>
      </c>
      <c r="F7" s="478">
        <f>landbouw!F8</f>
        <v>14181.47617107869</v>
      </c>
      <c r="G7" s="478">
        <f>landbouw!G8</f>
        <v>0</v>
      </c>
      <c r="H7" s="478">
        <f>landbouw!H8</f>
        <v>0</v>
      </c>
      <c r="I7" s="478">
        <f>landbouw!I8</f>
        <v>0</v>
      </c>
      <c r="J7" s="478">
        <f>landbouw!J8</f>
        <v>558.55116515250677</v>
      </c>
      <c r="K7" s="478">
        <f>landbouw!K8</f>
        <v>0</v>
      </c>
      <c r="L7" s="478">
        <f>landbouw!L8</f>
        <v>0</v>
      </c>
      <c r="M7" s="478">
        <f>landbouw!M8</f>
        <v>0</v>
      </c>
      <c r="N7" s="478">
        <f>landbouw!N8</f>
        <v>0</v>
      </c>
      <c r="O7" s="478">
        <f>landbouw!O8</f>
        <v>0</v>
      </c>
      <c r="P7" s="479">
        <f>landbouw!P8</f>
        <v>0</v>
      </c>
      <c r="Q7" s="477">
        <f t="shared" si="0"/>
        <v>108942.32149514256</v>
      </c>
    </row>
    <row r="8" spans="1:17">
      <c r="A8" s="477" t="s">
        <v>638</v>
      </c>
      <c r="B8" s="478">
        <f>industrie!B18</f>
        <v>354069.16606007004</v>
      </c>
      <c r="C8" s="478">
        <f>industrie!C18</f>
        <v>11137.5</v>
      </c>
      <c r="D8" s="478">
        <f>industrie!D18</f>
        <v>291279.30966680835</v>
      </c>
      <c r="E8" s="478">
        <f>industrie!E18</f>
        <v>17704.833241203756</v>
      </c>
      <c r="F8" s="478">
        <f>industrie!F18</f>
        <v>76632.011766524025</v>
      </c>
      <c r="G8" s="478">
        <f>industrie!G18</f>
        <v>0</v>
      </c>
      <c r="H8" s="478">
        <f>industrie!H18</f>
        <v>0</v>
      </c>
      <c r="I8" s="478">
        <f>industrie!I18</f>
        <v>0</v>
      </c>
      <c r="J8" s="478">
        <f>industrie!J18</f>
        <v>2447.9942306672247</v>
      </c>
      <c r="K8" s="478">
        <f>industrie!K18</f>
        <v>0</v>
      </c>
      <c r="L8" s="478">
        <f>industrie!L18</f>
        <v>0</v>
      </c>
      <c r="M8" s="478">
        <f>industrie!M18</f>
        <v>0</v>
      </c>
      <c r="N8" s="478">
        <f>industrie!N18</f>
        <v>73700.540343039349</v>
      </c>
      <c r="O8" s="478">
        <f>industrie!O18</f>
        <v>0</v>
      </c>
      <c r="P8" s="479">
        <f>industrie!P18</f>
        <v>0</v>
      </c>
      <c r="Q8" s="477">
        <f t="shared" si="0"/>
        <v>826971.35530831281</v>
      </c>
    </row>
    <row r="9" spans="1:17" s="483" customFormat="1">
      <c r="A9" s="481" t="s">
        <v>564</v>
      </c>
      <c r="B9" s="482">
        <f>transport!B14</f>
        <v>451.76286372529546</v>
      </c>
      <c r="C9" s="482">
        <f>transport!C14</f>
        <v>0</v>
      </c>
      <c r="D9" s="482">
        <f>transport!D14</f>
        <v>1047.9422163668987</v>
      </c>
      <c r="E9" s="482">
        <f>transport!E14</f>
        <v>4501.685244664056</v>
      </c>
      <c r="F9" s="482">
        <f>transport!F14</f>
        <v>0</v>
      </c>
      <c r="G9" s="482">
        <f>transport!G14</f>
        <v>1722786.8568646018</v>
      </c>
      <c r="H9" s="482">
        <f>transport!H14</f>
        <v>286967.42203293275</v>
      </c>
      <c r="I9" s="482">
        <f>transport!I14</f>
        <v>0</v>
      </c>
      <c r="J9" s="482">
        <f>transport!J14</f>
        <v>0</v>
      </c>
      <c r="K9" s="482">
        <f>transport!K14</f>
        <v>0</v>
      </c>
      <c r="L9" s="482">
        <f>transport!L14</f>
        <v>0</v>
      </c>
      <c r="M9" s="482">
        <f>transport!M14</f>
        <v>62872.764288158549</v>
      </c>
      <c r="N9" s="482">
        <f>transport!N14</f>
        <v>0</v>
      </c>
      <c r="O9" s="482">
        <f>transport!O14</f>
        <v>0</v>
      </c>
      <c r="P9" s="482">
        <f>transport!P14</f>
        <v>0</v>
      </c>
      <c r="Q9" s="481">
        <f>SUM(B9:P9)</f>
        <v>2078628.4335104495</v>
      </c>
    </row>
    <row r="10" spans="1:17">
      <c r="A10" s="477" t="s">
        <v>554</v>
      </c>
      <c r="B10" s="478">
        <f>transport!B54</f>
        <v>9252.2015696609033</v>
      </c>
      <c r="C10" s="478">
        <f>transport!C54</f>
        <v>0</v>
      </c>
      <c r="D10" s="478">
        <f>transport!D54</f>
        <v>0</v>
      </c>
      <c r="E10" s="478">
        <f>transport!E54</f>
        <v>0</v>
      </c>
      <c r="F10" s="478">
        <f>transport!F54</f>
        <v>0</v>
      </c>
      <c r="G10" s="478">
        <f>transport!G54</f>
        <v>37287.257029267748</v>
      </c>
      <c r="H10" s="478">
        <f>transport!H54</f>
        <v>0</v>
      </c>
      <c r="I10" s="478">
        <f>transport!I54</f>
        <v>0</v>
      </c>
      <c r="J10" s="478">
        <f>transport!J54</f>
        <v>0</v>
      </c>
      <c r="K10" s="478">
        <f>transport!K54</f>
        <v>0</v>
      </c>
      <c r="L10" s="478">
        <f>transport!L54</f>
        <v>0</v>
      </c>
      <c r="M10" s="478">
        <f>transport!M54</f>
        <v>1156.5672946643438</v>
      </c>
      <c r="N10" s="478">
        <f>transport!N54</f>
        <v>0</v>
      </c>
      <c r="O10" s="478">
        <f>transport!O54</f>
        <v>0</v>
      </c>
      <c r="P10" s="479">
        <f>transport!P54</f>
        <v>0</v>
      </c>
      <c r="Q10" s="477">
        <f t="shared" si="0"/>
        <v>47696.025893592996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1466050.0705717807</v>
      </c>
      <c r="C14" s="488">
        <f t="shared" ref="C14:Q14" ca="1" si="1">SUM(C4:C13)</f>
        <v>16551.991071428572</v>
      </c>
      <c r="D14" s="488">
        <f t="shared" ca="1" si="1"/>
        <v>2219552.8608389148</v>
      </c>
      <c r="E14" s="488">
        <f t="shared" si="1"/>
        <v>59688.626774415752</v>
      </c>
      <c r="F14" s="488">
        <f t="shared" ca="1" si="1"/>
        <v>285348.62447041657</v>
      </c>
      <c r="G14" s="488">
        <f t="shared" si="1"/>
        <v>1760074.1138938696</v>
      </c>
      <c r="H14" s="488">
        <f t="shared" si="1"/>
        <v>286967.42203293275</v>
      </c>
      <c r="I14" s="488">
        <f t="shared" si="1"/>
        <v>0</v>
      </c>
      <c r="J14" s="488">
        <f t="shared" si="1"/>
        <v>3006.5453958197313</v>
      </c>
      <c r="K14" s="488">
        <f t="shared" si="1"/>
        <v>0</v>
      </c>
      <c r="L14" s="488">
        <f t="shared" ca="1" si="1"/>
        <v>0</v>
      </c>
      <c r="M14" s="488">
        <f t="shared" si="1"/>
        <v>64029.331582822895</v>
      </c>
      <c r="N14" s="488">
        <f t="shared" ca="1" si="1"/>
        <v>191343.75195010347</v>
      </c>
      <c r="O14" s="488">
        <f t="shared" si="1"/>
        <v>2257.4533333333338</v>
      </c>
      <c r="P14" s="489">
        <f t="shared" si="1"/>
        <v>4995.4666666666662</v>
      </c>
      <c r="Q14" s="489">
        <f t="shared" ca="1" si="1"/>
        <v>6359866.2585825054</v>
      </c>
    </row>
    <row r="16" spans="1:17">
      <c r="A16" s="491" t="s">
        <v>559</v>
      </c>
      <c r="B16" s="841">
        <f ca="1">huishoudens!B10</f>
        <v>0.19565747874695102</v>
      </c>
      <c r="C16" s="841">
        <f ca="1">huishoudens!C10</f>
        <v>0.12626137238349922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72744.319759095699</v>
      </c>
      <c r="C21" s="478">
        <f t="shared" ref="C21:C30" ca="1" si="3">C4*$C$16</f>
        <v>0</v>
      </c>
      <c r="D21" s="478">
        <f t="shared" ref="D21:D30" si="4">D4*$D$16</f>
        <v>213094.13999808751</v>
      </c>
      <c r="E21" s="478">
        <f t="shared" ref="E21:E30" si="5">E4*$E$16</f>
        <v>6071.743525067579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291910.20328225079</v>
      </c>
    </row>
    <row r="22" spans="1:17">
      <c r="A22" s="477" t="s">
        <v>156</v>
      </c>
      <c r="B22" s="478">
        <f t="shared" ca="1" si="2"/>
        <v>139405.86432439057</v>
      </c>
      <c r="C22" s="478">
        <f t="shared" ca="1" si="3"/>
        <v>683.64107343677449</v>
      </c>
      <c r="D22" s="478">
        <f t="shared" ca="1" si="4"/>
        <v>157980.50218202057</v>
      </c>
      <c r="E22" s="478">
        <f t="shared" si="5"/>
        <v>2413.9846990771143</v>
      </c>
      <c r="F22" s="478">
        <f t="shared" ca="1" si="6"/>
        <v>51940.881454261296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352424.87373318634</v>
      </c>
    </row>
    <row r="23" spans="1:17">
      <c r="A23" s="477" t="s">
        <v>194</v>
      </c>
      <c r="B23" s="478">
        <f t="shared" ca="1" si="2"/>
        <v>2759.4273511424699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2759.4273511424699</v>
      </c>
    </row>
    <row r="24" spans="1:17">
      <c r="A24" s="477" t="s">
        <v>112</v>
      </c>
      <c r="B24" s="478">
        <f t="shared" ca="1" si="2"/>
        <v>759.11554200023966</v>
      </c>
      <c r="C24" s="478">
        <f t="shared" ca="1" si="3"/>
        <v>0</v>
      </c>
      <c r="D24" s="478">
        <f t="shared" si="4"/>
        <v>18224.93082895135</v>
      </c>
      <c r="E24" s="478">
        <f t="shared" si="5"/>
        <v>22.710357355690761</v>
      </c>
      <c r="F24" s="478">
        <f t="shared" si="6"/>
        <v>3786.4541376780103</v>
      </c>
      <c r="G24" s="478">
        <f t="shared" si="7"/>
        <v>0</v>
      </c>
      <c r="H24" s="478">
        <f t="shared" si="8"/>
        <v>0</v>
      </c>
      <c r="I24" s="478">
        <f t="shared" si="9"/>
        <v>0</v>
      </c>
      <c r="J24" s="478">
        <f t="shared" si="10"/>
        <v>197.7271124639874</v>
      </c>
      <c r="K24" s="478">
        <f t="shared" si="11"/>
        <v>0</v>
      </c>
      <c r="L24" s="478">
        <f t="shared" si="12"/>
        <v>0</v>
      </c>
      <c r="M24" s="478">
        <f t="shared" si="13"/>
        <v>0</v>
      </c>
      <c r="N24" s="478">
        <f t="shared" si="14"/>
        <v>0</v>
      </c>
      <c r="O24" s="478">
        <f t="shared" si="15"/>
        <v>0</v>
      </c>
      <c r="P24" s="479">
        <f t="shared" si="16"/>
        <v>0</v>
      </c>
      <c r="Q24" s="477">
        <f t="shared" ca="1" si="17"/>
        <v>22990.937978449281</v>
      </c>
    </row>
    <row r="25" spans="1:17">
      <c r="A25" s="477" t="s">
        <v>638</v>
      </c>
      <c r="B25" s="478">
        <f t="shared" ca="1" si="2"/>
        <v>69276.280333348826</v>
      </c>
      <c r="C25" s="478">
        <f t="shared" ca="1" si="3"/>
        <v>1406.2360349212224</v>
      </c>
      <c r="D25" s="478">
        <f t="shared" si="4"/>
        <v>58838.420552695286</v>
      </c>
      <c r="E25" s="478">
        <f t="shared" si="5"/>
        <v>4018.9971457532529</v>
      </c>
      <c r="F25" s="478">
        <f t="shared" si="6"/>
        <v>20460.747141661916</v>
      </c>
      <c r="G25" s="478">
        <f t="shared" si="7"/>
        <v>0</v>
      </c>
      <c r="H25" s="478">
        <f t="shared" si="8"/>
        <v>0</v>
      </c>
      <c r="I25" s="478">
        <f t="shared" si="9"/>
        <v>0</v>
      </c>
      <c r="J25" s="478">
        <f t="shared" si="10"/>
        <v>866.5899576561975</v>
      </c>
      <c r="K25" s="478">
        <f t="shared" si="11"/>
        <v>0</v>
      </c>
      <c r="L25" s="478">
        <f t="shared" si="12"/>
        <v>0</v>
      </c>
      <c r="M25" s="478">
        <f t="shared" si="13"/>
        <v>0</v>
      </c>
      <c r="N25" s="478">
        <f t="shared" si="14"/>
        <v>0</v>
      </c>
      <c r="O25" s="478">
        <f t="shared" si="15"/>
        <v>0</v>
      </c>
      <c r="P25" s="479">
        <f t="shared" si="16"/>
        <v>0</v>
      </c>
      <c r="Q25" s="477">
        <f t="shared" ca="1" si="17"/>
        <v>154867.27116603669</v>
      </c>
    </row>
    <row r="26" spans="1:17" s="483" customFormat="1">
      <c r="A26" s="481" t="s">
        <v>564</v>
      </c>
      <c r="B26" s="835">
        <f t="shared" ca="1" si="2"/>
        <v>88.390782907993724</v>
      </c>
      <c r="C26" s="482">
        <f t="shared" ca="1" si="3"/>
        <v>0</v>
      </c>
      <c r="D26" s="482">
        <f t="shared" si="4"/>
        <v>211.68432770611355</v>
      </c>
      <c r="E26" s="482">
        <f t="shared" si="5"/>
        <v>1021.8825505387407</v>
      </c>
      <c r="F26" s="482">
        <f t="shared" si="6"/>
        <v>0</v>
      </c>
      <c r="G26" s="482">
        <f t="shared" si="7"/>
        <v>459984.09078284871</v>
      </c>
      <c r="H26" s="482">
        <f t="shared" si="8"/>
        <v>71454.888086200255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532760.93653020181</v>
      </c>
    </row>
    <row r="27" spans="1:17">
      <c r="A27" s="477" t="s">
        <v>554</v>
      </c>
      <c r="B27" s="478">
        <f t="shared" ca="1" si="2"/>
        <v>1810.2624319784352</v>
      </c>
      <c r="C27" s="478">
        <f t="shared" ca="1" si="3"/>
        <v>0</v>
      </c>
      <c r="D27" s="478">
        <f t="shared" si="4"/>
        <v>0</v>
      </c>
      <c r="E27" s="478">
        <f t="shared" si="5"/>
        <v>0</v>
      </c>
      <c r="F27" s="478">
        <f t="shared" si="6"/>
        <v>0</v>
      </c>
      <c r="G27" s="478">
        <f t="shared" si="7"/>
        <v>9955.6976268144899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11765.960058792925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286843.66052486427</v>
      </c>
      <c r="C31" s="488">
        <f t="shared" ca="1" si="18"/>
        <v>2089.8771083579968</v>
      </c>
      <c r="D31" s="488">
        <f t="shared" ca="1" si="18"/>
        <v>448349.67788946087</v>
      </c>
      <c r="E31" s="488">
        <f t="shared" si="18"/>
        <v>13549.318277792378</v>
      </c>
      <c r="F31" s="488">
        <f t="shared" ca="1" si="18"/>
        <v>76188.082733601215</v>
      </c>
      <c r="G31" s="488">
        <f t="shared" si="18"/>
        <v>469939.78840966319</v>
      </c>
      <c r="H31" s="488">
        <f t="shared" si="18"/>
        <v>71454.888086200255</v>
      </c>
      <c r="I31" s="488">
        <f t="shared" si="18"/>
        <v>0</v>
      </c>
      <c r="J31" s="488">
        <f t="shared" si="18"/>
        <v>1064.3170701201848</v>
      </c>
      <c r="K31" s="488">
        <f t="shared" si="18"/>
        <v>0</v>
      </c>
      <c r="L31" s="488">
        <f t="shared" ca="1" si="18"/>
        <v>0</v>
      </c>
      <c r="M31" s="488">
        <f t="shared" si="18"/>
        <v>0</v>
      </c>
      <c r="N31" s="488">
        <f t="shared" ca="1" si="18"/>
        <v>0</v>
      </c>
      <c r="O31" s="488">
        <f t="shared" si="18"/>
        <v>0</v>
      </c>
      <c r="P31" s="489">
        <f t="shared" si="18"/>
        <v>0</v>
      </c>
      <c r="Q31" s="489">
        <f t="shared" ca="1" si="18"/>
        <v>1369479.6101000605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0.19565747874695102</v>
      </c>
      <c r="C17" s="528">
        <f ca="1">'EF ele_warmte'!B22</f>
        <v>0.12626137238349922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3</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57.2</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0.19565747874695102</v>
      </c>
      <c r="C17" s="528">
        <f ca="1">'EF ele_warmte'!B22</f>
        <v>0.12626137238349922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0.19565747874695102</v>
      </c>
      <c r="C29" s="529">
        <f ca="1">'EF ele_warmte'!B22</f>
        <v>0.12626137238349922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2018-06-27T09:43:51Z</dcterms:modified>
</cp:coreProperties>
</file>