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16" i="16" l="1"/>
  <c r="D8" i="17"/>
  <c r="L6"/>
  <c r="L5" s="1"/>
  <c r="N16" i="16"/>
  <c r="D6" i="17"/>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Q13"/>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N7" l="1"/>
  <c r="N24" s="1"/>
  <c r="H14" i="22"/>
  <c r="P41" i="14"/>
  <c r="P53" s="1"/>
  <c r="D8" i="48"/>
  <c r="D25" s="1"/>
  <c r="E16" i="15"/>
  <c r="E20" s="1"/>
  <c r="F36" i="14" s="1"/>
  <c r="J16" i="15"/>
  <c r="K10" i="14" s="1"/>
  <c r="O22"/>
  <c r="L7" i="48"/>
  <c r="L24" s="1"/>
  <c r="M22" i="14"/>
  <c r="P15"/>
  <c r="P23" s="1"/>
  <c r="P55" s="1"/>
  <c r="M58" i="22"/>
  <c r="N44" i="14" s="1"/>
  <c r="N18"/>
  <c r="R18" s="1"/>
  <c r="O14" i="4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M9" i="48"/>
  <c r="N19" i="14"/>
  <c r="N20" s="1"/>
  <c r="N23" s="1"/>
  <c r="P14" i="48"/>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8" i="15" s="1"/>
  <c r="C20" s="1"/>
  <c r="D36" i="14" s="1"/>
  <c r="J20" i="15"/>
  <c r="K36" i="14" s="1"/>
  <c r="F10"/>
  <c r="J5" i="48"/>
  <c r="J22" s="1"/>
  <c r="E5"/>
  <c r="E22"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20" i="16"/>
  <c r="C22" s="1"/>
  <c r="D39" i="14" s="1"/>
  <c r="C17" i="19"/>
  <c r="C19" s="1"/>
  <c r="D35" i="14" s="1"/>
  <c r="C29" i="20"/>
  <c r="C17" i="49"/>
  <c r="N22" i="16"/>
  <c r="O39" i="14" s="1"/>
  <c r="O41" s="1"/>
  <c r="F8" i="48"/>
  <c r="Q4"/>
  <c r="N22"/>
  <c r="R11" i="14"/>
  <c r="J21" i="48"/>
  <c r="R10" i="14"/>
  <c r="J8" i="48" l="1"/>
  <c r="J25" s="1"/>
  <c r="J31" s="1"/>
  <c r="C56" i="22"/>
  <c r="C58" s="1"/>
  <c r="D44" i="14" s="1"/>
  <c r="D46" s="1"/>
  <c r="C10" i="17"/>
  <c r="C12" s="1"/>
  <c r="D48" i="14" s="1"/>
  <c r="Q5" i="48"/>
  <c r="C16" i="22"/>
  <c r="O13" i="14"/>
  <c r="O15" s="1"/>
  <c r="C10" i="13"/>
  <c r="C16" i="48" s="1"/>
  <c r="C30" s="1"/>
  <c r="F13" i="14"/>
  <c r="F15" s="1"/>
  <c r="F23" s="1"/>
  <c r="F55" s="1"/>
  <c r="F22" i="16"/>
  <c r="G39" i="14" s="1"/>
  <c r="G41" s="1"/>
  <c r="G53" s="1"/>
  <c r="G55" s="1"/>
  <c r="O69" s="1"/>
  <c r="B9" i="6" s="1"/>
  <c r="B12" s="1"/>
  <c r="N25" i="48"/>
  <c r="N31" s="1"/>
  <c r="N14"/>
  <c r="E25"/>
  <c r="E31" s="1"/>
  <c r="E14"/>
  <c r="K13" i="14"/>
  <c r="K15" s="1"/>
  <c r="K23" s="1"/>
  <c r="K55" s="1"/>
  <c r="H55"/>
  <c r="E55"/>
  <c r="C78"/>
  <c r="C81" s="1"/>
  <c r="R19"/>
  <c r="R20" s="1"/>
  <c r="H14" i="48"/>
  <c r="G31"/>
  <c r="H26"/>
  <c r="H31" s="1"/>
  <c r="O53" i="14"/>
  <c r="M53"/>
  <c r="M55" s="1"/>
  <c r="C23" i="48"/>
  <c r="C24"/>
  <c r="C26"/>
  <c r="F25"/>
  <c r="F31" s="1"/>
  <c r="F14"/>
  <c r="R13" i="14" l="1"/>
  <c r="R15" s="1"/>
  <c r="R23" s="1"/>
  <c r="C22" i="48"/>
  <c r="J14"/>
  <c r="C25"/>
  <c r="C27"/>
  <c r="C28"/>
  <c r="C31" s="1"/>
  <c r="C29"/>
  <c r="Q8"/>
  <c r="Q14" s="1"/>
  <c r="C21"/>
  <c r="C12" i="13"/>
  <c r="D37" i="14" s="1"/>
  <c r="D41"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<sst xmlns="http://schemas.openxmlformats.org/spreadsheetml/2006/main" count="1951" uniqueCount="832">
  <si>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</si>
  <si>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</si>
  <si>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</si>
  <si>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</si>
  <si>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</si>
  <si>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</si>
  <si>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</si>
  <si>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</si>
  <si>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</si>
  <si>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</si>
  <si>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</si>
  <si>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</si>
  <si>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</si>
  <si>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</si>
  <si>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</si>
  <si>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</si>
  <si>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</si>
  <si>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</si>
  <si>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</si>
  <si>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</si>
  <si>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</si>
  <si>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</si>
  <si>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</si>
  <si>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</si>
  <si>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</si>
  <si>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</si>
  <si>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</si>
  <si>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</si>
  <si>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</si>
  <si>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</si>
  <si>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</si>
  <si>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</si>
  <si>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</si>
  <si>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</si>
  <si>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</si>
  <si>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</si>
  <si>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</si>
  <si>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</si>
  <si>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</si>
  <si>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</si>
  <si>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</si>
  <si>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</si>
  <si>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</si>
  <si>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</si>
  <si>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</si>
  <si>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</si>
  <si>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</si>
  <si>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</si>
  <si>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</si>
  <si>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</si>
  <si>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</si>
  <si>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</si>
  <si>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</si>
  <si>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</si>
  <si>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</si>
  <si>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</si>
  <si>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</si>
  <si>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</si>
  <si>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</si>
  <si>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</si>
  <si>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</si>
  <si>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</si>
  <si>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</si>
  <si>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</si>
  <si>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</si>
  <si>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</si>
  <si>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</si>
  <si>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</si>
  <si>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</si>
  <si>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</si>
  <si>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</si>
  <si>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</si>
  <si>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</si>
  <si>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</si>
  <si>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</si>
  <si>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</si>
  <si>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</si>
  <si>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</si>
  <si>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</si>
  <si>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</si>
  <si>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</si>
  <si>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</si>
  <si>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</si>
  <si>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</si>
  <si>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</si>
  <si>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</si>
  <si>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</si>
  <si>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</si>
  <si>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</si>
  <si>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</si>
  <si>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</si>
  <si>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</si>
  <si>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</si>
  <si>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</si>
  <si>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</si>
  <si>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</si>
  <si>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</si>
  <si>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</si>
  <si>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</si>
  <si>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</si>
  <si>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</si>
  <si>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</si>
  <si>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</si>
  <si>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</si>
  <si>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</si>
  <si>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</si>
  <si>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</si>
  <si>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</si>
  <si>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</si>
  <si>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</si>
  <si>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</si>
  <si>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</si>
  <si>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</si>
  <si>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</si>
  <si>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</si>
  <si>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</si>
  <si>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</si>
  <si>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</si>
  <si>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</si>
  <si>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</si>
  <si>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</si>
  <si>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</si>
  <si>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</si>
  <si>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</si>
  <si>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</si>
  <si>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</si>
  <si>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</si>
  <si>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</si>
  <si>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</si>
  <si>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</si>
  <si>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</si>
  <si>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</si>
  <si>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</si>
  <si>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</si>
  <si>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</si>
  <si>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</si>
  <si>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</si>
  <si>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</si>
  <si>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</si>
  <si>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</si>
  <si>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</si>
  <si>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</si>
  <si>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</si>
  <si>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</si>
  <si>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</si>
  <si>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</si>
  <si>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</si>
  <si>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</si>
  <si>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</si>
  <si>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</si>
  <si>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</si>
  <si>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</si>
  <si>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</si>
  <si>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</si>
  <si>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</si>
  <si>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</si>
  <si>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</si>
  <si>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</si>
  <si>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</si>
  <si>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</si>
  <si>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</si>
  <si>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</si>
  <si>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</si>
  <si>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</si>
  <si>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</si>
  <si>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</si>
  <si>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</si>
  <si>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</si>
  <si>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</si>
  <si>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</si>
  <si>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</si>
  <si>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</si>
  <si>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</si>
  <si>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</si>
  <si>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</si>
  <si>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</si>
  <si>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</si>
  <si>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</si>
  <si>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</si>
  <si>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</si>
  <si>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</si>
  <si>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</si>
  <si>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</si>
  <si>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</si>
  <si>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</si>
  <si>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</si>
  <si>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</si>
  <si>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</si>
  <si>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</si>
  <si>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</si>
  <si>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</si>
  <si>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</si>
  <si>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</si>
  <si>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</si>
  <si>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</si>
  <si>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</si>
  <si>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</si>
  <si>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</si>
  <si>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</si>
  <si>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</si>
  <si>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</si>
  <si>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</si>
  <si>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</si>
  <si>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</si>
  <si>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</si>
  <si>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</si>
  <si>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</si>
  <si>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</si>
  <si>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</si>
  <si>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</si>
  <si>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</si>
  <si>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</si>
  <si>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</si>
  <si>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</si>
  <si>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</si>
  <si>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</si>
  <si>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</si>
  <si>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</si>
  <si>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</si>
  <si>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</si>
  <si>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</si>
  <si>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</si>
  <si>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</si>
  <si>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</si>
  <si>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</si>
  <si>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</si>
  <si>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</si>
  <si>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</si>
  <si>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</si>
  <si>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</si>
  <si>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</si>
  <si>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</si>
  <si>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</si>
  <si>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</si>
  <si>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</si>
  <si>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</si>
  <si>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</si>
  <si>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</si>
  <si>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</si>
  <si>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</si>
  <si>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</si>
  <si>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</si>
  <si>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</si>
  <si>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</si>
  <si>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</si>
  <si>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</si>
  <si>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</si>
  <si>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</si>
  <si>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</si>
  <si>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</si>
  <si>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</si>
  <si>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</si>
  <si>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</si>
  <si>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</si>
  <si>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</si>
  <si>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</si>
  <si>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</si>
  <si>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</si>
  <si>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</si>
  <si>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</si>
  <si>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</si>
  <si>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</si>
  <si>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</si>
  <si>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</si>
  <si>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</si>
  <si>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</si>
  <si>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</si>
  <si>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</si>
  <si>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</si>
  <si>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</si>
  <si>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</si>
  <si>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</si>
  <si>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</si>
  <si>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</si>
  <si>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</si>
  <si>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</si>
  <si>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</si>
  <si>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</si>
  <si>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</si>
  <si>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</si>
  <si>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</si>
  <si>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</si>
  <si>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</si>
  <si>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</si>
  <si>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</si>
  <si>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</si>
  <si>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</si>
  <si>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</si>
  <si>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</si>
  <si>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</si>
  <si>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</si>
  <si>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</si>
  <si>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</si>
  <si>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</si>
  <si>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</si>
  <si>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</si>
  <si>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</si>
  <si>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</si>
  <si>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</si>
  <si>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</si>
  <si>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</si>
  <si>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</si>
  <si>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</si>
  <si>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</si>
  <si>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</si>
  <si>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</si>
  <si>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</si>
  <si>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</si>
  <si>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</si>
  <si>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</si>
  <si>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</si>
  <si>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</si>
  <si>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</si>
  <si>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</si>
  <si>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</si>
  <si>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</si>
  <si>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</si>
  <si>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</si>
  <si>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</si>
  <si>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</si>
  <si>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</si>
  <si>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</si>
  <si>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</si>
  <si>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</si>
  <si>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</si>
  <si>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</si>
  <si>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</si>
  <si>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</si>
  <si>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</si>
  <si>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</si>
  <si>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</si>
  <si>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</si>
  <si>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</si>
  <si>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</si>
  <si>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</si>
  <si>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</si>
  <si>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</si>
  <si>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</si>
  <si>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</si>
  <si>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</si>
  <si>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</si>
  <si>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</si>
  <si>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</si>
  <si>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</si>
  <si>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</si>
  <si>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</si>
  <si>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</si>
  <si>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</si>
  <si>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</si>
  <si>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</si>
  <si>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</si>
  <si>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</si>
  <si>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</si>
  <si>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</si>
  <si>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</si>
  <si>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</si>
  <si>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</si>
  <si>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</si>
  <si>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</si>
  <si>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</si>
  <si>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</si>
  <si>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</si>
  <si>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</si>
  <si>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</si>
  <si>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</si>
  <si>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</si>
  <si>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</si>
  <si>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</si>
  <si>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</si>
  <si>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</si>
  <si>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</si>
  <si>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</si>
  <si>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</si>
  <si>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</si>
  <si>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</si>
  <si>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</si>
  <si>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</si>
  <si>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</si>
  <si>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</si>
  <si>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</si>
  <si>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</si>
  <si>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</si>
  <si>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</si>
  <si>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</si>
  <si>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</si>
  <si>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</si>
  <si>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</si>
  <si>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</si>
  <si>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</si>
  <si>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</si>
  <si>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</si>
  <si>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</si>
  <si>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</si>
  <si>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</si>
  <si>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</si>
  <si>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</si>
  <si>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</si>
  <si>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</si>
  <si>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</si>
  <si>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</si>
  <si>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</si>
  <si>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</si>
  <si>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</si>
  <si>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</si>
  <si>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</si>
  <si>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</si>
  <si>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</si>
  <si>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</si>
  <si>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</si>
  <si>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</si>
  <si>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</si>
  <si>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</si>
  <si>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</si>
  <si>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</si>
  <si>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</si>
  <si>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</si>
  <si>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</si>
  <si>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</si>
  <si>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</si>
  <si>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</si>
  <si>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</si>
  <si>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</si>
  <si>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</si>
  <si>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</si>
  <si>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</si>
  <si>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</si>
  <si>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</si>
  <si>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</si>
  <si>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</si>
  <si>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</si>
  <si>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</si>
  <si>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</si>
  <si>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</si>
  <si>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</si>
  <si>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</si>
  <si>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</si>
  <si>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</si>
  <si>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</si>
  <si>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</si>
  <si>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</si>
  <si>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</si>
  <si>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</si>
  <si>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</si>
  <si>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</si>
  <si>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</si>
  <si>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</si>
  <si>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</si>
  <si>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</si>
  <si>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</si>
  <si>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</si>
  <si>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</si>
  <si>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</si>
  <si>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</si>
  <si>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</si>
  <si>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</si>
  <si>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</si>
  <si>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</si>
  <si>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</si>
  <si>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</si>
  <si>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</si>
  <si>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</si>
  <si>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</si>
  <si>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</si>
  <si>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</si>
  <si>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</si>
  <si>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</si>
  <si>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</si>
  <si>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</si>
  <si>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</si>
  <si>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</si>
  <si>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</si>
  <si>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</si>
  <si>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</si>
  <si>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</si>
  <si>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</si>
  <si>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</si>
  <si>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</si>
  <si>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</si>
  <si>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</si>
  <si>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</si>
  <si>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</si>
  <si>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</si>
  <si>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</si>
  <si>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</si>
  <si>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</si>
  <si>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</si>
  <si>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</si>
  <si>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</si>
  <si>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</si>
  <si>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</si>
  <si>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</si>
  <si>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</si>
  <si>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</si>
  <si>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</si>
  <si>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</si>
  <si>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</si>
  <si>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</si>
  <si>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</si>
  <si>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</si>
  <si>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</si>
  <si>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</si>
  <si>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</si>
  <si>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</si>
  <si>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</si>
  <si>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</si>
  <si>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</si>
  <si>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</si>
  <si>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</si>
  <si>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</si>
  <si>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</si>
  <si>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</si>
  <si>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</si>
  <si>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</si>
  <si>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</si>
  <si>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</si>
  <si>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</si>
  <si>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</si>
  <si>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</si>
  <si>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</si>
  <si>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</si>
  <si>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</si>
  <si>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</si>
  <si>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</si>
  <si>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</si>
  <si>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</si>
  <si>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</si>
  <si>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</si>
  <si>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</si>
  <si>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</si>
  <si>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</si>
  <si>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</si>
  <si>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</si>
  <si>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</si>
  <si>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</si>
  <si>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</si>
  <si>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</si>
  <si>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</si>
  <si>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</si>
  <si>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</si>
  <si>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</si>
  <si>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</si>
  <si>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</si>
  <si>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</si>
  <si>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</si>
  <si>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</si>
  <si>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</si>
  <si>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</si>
  <si>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</si>
  <si>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</si>
  <si>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</si>
  <si>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</si>
  <si>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</si>
  <si>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</si>
  <si>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</si>
  <si>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</si>
  <si>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</si>
  <si>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</si>
  <si>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</si>
  <si>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</si>
  <si>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</si>
  <si>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</si>
  <si>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</si>
  <si>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</si>
  <si>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</si>
  <si>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</si>
  <si>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</si>
  <si>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</si>
  <si>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</si>
  <si>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</si>
  <si>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</si>
  <si>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</si>
  <si>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</si>
  <si>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</si>
  <si>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</si>
  <si>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</si>
  <si>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</si>
  <si>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</si>
  <si>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</si>
  <si>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</si>
  <si>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</si>
  <si>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</si>
  <si>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</si>
  <si>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</si>
  <si>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</si>
  <si>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</si>
  <si>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</si>
  <si>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</si>
  <si>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</si>
  <si>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</si>
  <si>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</si>
  <si>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</si>
  <si>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</si>
  <si>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</si>
  <si>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</si>
  <si>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</si>
  <si>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</si>
  <si>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</si>
  <si>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</si>
  <si>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</si>
  <si>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</si>
  <si>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</si>
  <si>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</si>
  <si>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</si>
  <si>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</si>
  <si>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</si>
  <si>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</si>
  <si>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</si>
  <si>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</si>
  <si>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</si>
  <si>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</si>
  <si>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</si>
  <si>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</si>
  <si>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</si>
  <si>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</si>
  <si>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</si>
  <si>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</si>
  <si>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</si>
  <si>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</si>
  <si>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</si>
  <si>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</si>
  <si>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</si>
  <si>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</si>
  <si>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</si>
  <si>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</si>
  <si>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</si>
  <si>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</si>
  <si>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</si>
  <si>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</si>
  <si>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</si>
  <si>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</si>
  <si>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</si>
  <si>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</si>
  <si>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</si>
  <si>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</si>
  <si>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</si>
  <si>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</si>
  <si>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</si>
  <si>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</si>
  <si>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</si>
  <si>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</si>
  <si>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</si>
  <si>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</si>
  <si>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</si>
  <si>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</si>
  <si>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</si>
  <si>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</si>
  <si>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</si>
  <si>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</si>
  <si>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</si>
  <si>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</si>
  <si>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</si>
  <si>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</si>
  <si>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</si>
  <si>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</si>
  <si>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</si>
  <si>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</si>
  <si>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</si>
  <si>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</si>
  <si>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</si>
  <si>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</si>
  <si>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</si>
  <si>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</si>
  <si>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</si>
  <si>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</si>
  <si>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</si>
  <si>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</si>
  <si>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</si>
  <si>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</si>
  <si>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</si>
  <si>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</si>
  <si>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</si>
  <si>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</si>
  <si>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</si>
  <si>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</si>
  <si>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</si>
  <si>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</si>
  <si>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</si>
  <si>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</si>
  <si>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</si>
  <si>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</si>
  <si>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</si>
  <si>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</si>
  <si>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</si>
  <si>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</si>
  <si>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</si>
  <si>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</si>
  <si>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</si>
  <si>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</si>
  <si>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</si>
  <si>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</si>
  <si>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</si>
  <si>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</si>
  <si>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</si>
  <si>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</si>
  <si>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</si>
  <si>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</si>
  <si>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</si>
  <si>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</si>
  <si>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</si>
  <si>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</si>
  <si>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</si>
  <si>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</si>
  <si>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</si>
  <si>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</si>
  <si>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</si>
  <si>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</si>
  <si>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</si>
  <si>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</si>
  <si>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</si>
  <si>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</si>
  <si>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</si>
  <si>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</si>
  <si>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</si>
  <si>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</si>
  <si>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</si>
  <si>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</si>
  <si>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</si>
  <si>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</si>
  <si>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</si>
  <si>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</si>
  <si>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</si>
  <si>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</si>
  <si>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</si>
  <si>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</si>
  <si>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</si>
  <si>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</si>
  <si>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</si>
  <si>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</si>
  <si>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</si>
  <si>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</si>
  <si>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</si>
  <si>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</si>
  <si>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</si>
  <si>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</si>
  <si>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</si>
  <si>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</si>
  <si>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</si>
  <si>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</si>
  <si>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</si>
  <si>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</si>
  <si>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</si>
  <si>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</si>
  <si>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</si>
  <si>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</si>
  <si>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</si>
  <si>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</si>
  <si>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</si>
  <si>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</si>
  <si>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</si>
  <si>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</si>
  <si>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</si>
  <si>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</si>
  <si>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</si>
  <si>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</si>
  <si>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</si>
  <si>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</si>
  <si>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</si>
  <si>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</si>
  <si>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</si>
  <si>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</si>
  <si>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</si>
  <si>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</si>
  <si>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</si>
  <si>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</si>
  <si>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</si>
  <si>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</si>
  <si>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</si>
  <si>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</si>
  <si>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</si>
  <si>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</si>
  <si>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</si>
  <si>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</si>
  <si>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</si>
  <si>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</si>
  <si>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</si>
  <si>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</si>
  <si>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</si>
  <si>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</si>
  <si>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</si>
  <si>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</si>
  <si>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</si>
  <si>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</si>
  <si>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</si>
  <si>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</si>
  <si>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</si>
  <si>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</si>
  <si>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</si>
  <si>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</si>
  <si>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</si>
  <si>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</si>
  <si>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</si>
  <si>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</si>
  <si>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</si>
  <si>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</si>
  <si>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</si>
  <si>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</si>
  <si>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</si>
  <si>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</si>
  <si>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</si>
  <si>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</si>
  <si>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</si>
  <si>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</si>
  <si>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</si>
  <si>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</si>
  <si>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</si>
  <si>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</si>
  <si>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</si>
  <si>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</si>
  <si>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</si>
  <si>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</si>
  <si>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44011</t>
  </si>
  <si>
    <t>DEINZE</t>
  </si>
  <si>
    <t>Paarden&amp;pony's 200 - 600 kg</t>
  </si>
  <si>
    <t>Paarden&amp;pony's &lt; 200 kg</t>
  </si>
  <si>
    <t>referentietaak LNE (2017); Jaarverslag De Lijn (2015)</t>
  </si>
  <si>
    <t>op basis van VEA (maart 2018) en Inventaris Hernieuwbare Energiebronnen (juni 2018)</t>
  </si>
  <si>
    <t>VEA (januari 2017)</t>
  </si>
  <si>
    <t>VEA (juni 2018)</t>
  </si>
  <si>
    <t>Patoma bvba</t>
  </si>
  <si>
    <t>Wierookstraat 2 , 9800 Deinze</t>
  </si>
  <si>
    <t>WKK-0184 Patoma</t>
  </si>
  <si>
    <t>interne verbrandingsmotor</t>
  </si>
  <si>
    <t>WKK interne verbrandinsgmotor (gas)</t>
  </si>
  <si>
    <t>GASELWEST</t>
  </si>
  <si>
    <t>VC Energy bvba</t>
  </si>
  <si>
    <t>Moerstraat 30 , 9800 Deinze</t>
  </si>
  <si>
    <t>WKK-0219 VC Energy</t>
  </si>
  <si>
    <t>aftap-condensatiestoomturbine</t>
  </si>
  <si>
    <t>Stokstormproject ESV</t>
  </si>
  <si>
    <t>Stokstormestraat 14 , 9800 Deinze</t>
  </si>
  <si>
    <t>WKK-0408 Het Groene Huis - Tomato Masters</t>
  </si>
  <si>
    <t>Stokstormestraat 14 a, 9800 Deinze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</si>
</sst>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223802.15002549498</c:v>
                </c:pt>
                <c:pt idx="1">
                  <c:v>118120.24167042524</c:v>
                </c:pt>
                <c:pt idx="2">
                  <c:v>2446.3989999999999</c:v>
                </c:pt>
                <c:pt idx="3">
                  <c:v>116380.57667809591</c:v>
                </c:pt>
                <c:pt idx="4">
                  <c:v>218703.20751679596</c:v>
                </c:pt>
                <c:pt idx="5">
                  <c:v>148203.11378148437</c:v>
                </c:pt>
                <c:pt idx="6">
                  <c:v>2139.7372591477169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76896"/>
        <c:axId val="182978432"/>
      </c:barChart>
      <c:catAx>
        <c:axId val="182976896"/>
        <c:scaling>
          <c:orientation val="minMax"/>
        </c:scaling>
        <c:axPos val="b"/>
        <c:numFmt formatCode="General" sourceLinked="0"/>
        <c:tickLblPos val="nextTo"/>
        <c:crossAx val="182978432"/>
        <c:crosses val="autoZero"/>
        <c:auto val="1"/>
        <c:lblAlgn val="ctr"/>
        <c:lblOffset val="100"/>
      </c:catAx>
      <c:valAx>
        <c:axId val="182978432"/>
        <c:scaling>
          <c:orientation val="minMax"/>
        </c:scaling>
        <c:axPos val="l"/>
        <c:majorGridlines/>
        <c:numFmt formatCode="#,##0" sourceLinked="1"/>
        <c:tickLblPos val="nextTo"/>
        <c:crossAx val="1829768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223802.15002549498</c:v>
                </c:pt>
                <c:pt idx="1">
                  <c:v>118120.24167042524</c:v>
                </c:pt>
                <c:pt idx="2">
                  <c:v>2446.3989999999999</c:v>
                </c:pt>
                <c:pt idx="3">
                  <c:v>116380.57667809591</c:v>
                </c:pt>
                <c:pt idx="4">
                  <c:v>218703.20751679596</c:v>
                </c:pt>
                <c:pt idx="5">
                  <c:v>148203.11378148437</c:v>
                </c:pt>
                <c:pt idx="6">
                  <c:v>2139.7372591477169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41262.525506777041</c:v>
                </c:pt>
                <c:pt idx="1">
                  <c:v>22929.378196727506</c:v>
                </c:pt>
                <c:pt idx="2">
                  <c:v>448.2057847688726</c:v>
                </c:pt>
                <c:pt idx="3">
                  <c:v>19364.392181835581</c:v>
                </c:pt>
                <c:pt idx="4">
                  <c:v>40236.918233604163</c:v>
                </c:pt>
                <c:pt idx="5">
                  <c:v>37938.715670223835</c:v>
                </c:pt>
                <c:pt idx="6">
                  <c:v>554.12221670262295</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286784"/>
        <c:axId val="183403264"/>
      </c:barChart>
      <c:catAx>
        <c:axId val="183286784"/>
        <c:scaling>
          <c:orientation val="minMax"/>
        </c:scaling>
        <c:axPos val="b"/>
        <c:numFmt formatCode="General" sourceLinked="0"/>
        <c:tickLblPos val="nextTo"/>
        <c:crossAx val="183403264"/>
        <c:crosses val="autoZero"/>
        <c:auto val="1"/>
        <c:lblAlgn val="ctr"/>
        <c:lblOffset val="100"/>
      </c:catAx>
      <c:valAx>
        <c:axId val="183403264"/>
        <c:scaling>
          <c:orientation val="minMax"/>
        </c:scaling>
        <c:axPos val="l"/>
        <c:majorGridlines/>
        <c:numFmt formatCode="#,##0" sourceLinked="1"/>
        <c:tickLblPos val="nextTo"/>
        <c:crossAx val="1832867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41262.525506777041</c:v>
                </c:pt>
                <c:pt idx="1">
                  <c:v>22929.378196727506</c:v>
                </c:pt>
                <c:pt idx="2">
                  <c:v>448.2057847688726</c:v>
                </c:pt>
                <c:pt idx="3">
                  <c:v>19364.392181835581</c:v>
                </c:pt>
                <c:pt idx="4">
                  <c:v>40236.918233604163</c:v>
                </c:pt>
                <c:pt idx="5">
                  <c:v>37938.715670223835</c:v>
                </c:pt>
                <c:pt idx="6">
                  <c:v>554.12221670262295</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44011</v>
      </c>
      <c r="B6" s="415"/>
      <c r="C6" s="416"/>
    </row>
    <row r="7" spans="1:7" s="413" customFormat="1" ht="15.75" customHeight="1">
      <c r="A7" s="417" t="str">
        <f>txtMunicipality</f>
        <v>DEINZE</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44011</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12798</v>
      </c>
      <c r="C9" s="342">
        <v>13481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4645.9799999999996</v>
      </c>
    </row>
    <row r="15" spans="1:6">
      <c r="A15" s="348" t="s">
        <v>184</v>
      </c>
      <c r="B15" s="334">
        <v>70</v>
      </c>
    </row>
    <row r="16" spans="1:6">
      <c r="A16" s="348" t="s">
        <v>6</v>
      </c>
      <c r="B16" s="334">
        <v>2327</v>
      </c>
    </row>
    <row r="17" spans="1:6">
      <c r="A17" s="348" t="s">
        <v>7</v>
      </c>
      <c r="B17" s="334">
        <v>1886</v>
      </c>
    </row>
    <row r="18" spans="1:6">
      <c r="A18" s="348" t="s">
        <v>8</v>
      </c>
      <c r="B18" s="334">
        <v>2705</v>
      </c>
    </row>
    <row r="19" spans="1:6">
      <c r="A19" s="348" t="s">
        <v>9</v>
      </c>
      <c r="B19" s="334">
        <v>2483</v>
      </c>
    </row>
    <row r="20" spans="1:6">
      <c r="A20" s="348" t="s">
        <v>10</v>
      </c>
      <c r="B20" s="334">
        <v>1483</v>
      </c>
    </row>
    <row r="21" spans="1:6">
      <c r="A21" s="348" t="s">
        <v>11</v>
      </c>
      <c r="B21" s="334">
        <v>8002</v>
      </c>
    </row>
    <row r="22" spans="1:6">
      <c r="A22" s="348" t="s">
        <v>12</v>
      </c>
      <c r="B22" s="334">
        <v>38790</v>
      </c>
    </row>
    <row r="23" spans="1:6">
      <c r="A23" s="348" t="s">
        <v>13</v>
      </c>
      <c r="B23" s="334">
        <v>288</v>
      </c>
    </row>
    <row r="24" spans="1:6">
      <c r="A24" s="348" t="s">
        <v>14</v>
      </c>
      <c r="B24" s="334">
        <v>23</v>
      </c>
    </row>
    <row r="25" spans="1:6">
      <c r="A25" s="348" t="s">
        <v>15</v>
      </c>
      <c r="B25" s="334">
        <v>2157</v>
      </c>
    </row>
    <row r="26" spans="1:6">
      <c r="A26" s="348" t="s">
        <v>16</v>
      </c>
      <c r="B26" s="334">
        <v>250</v>
      </c>
    </row>
    <row r="27" spans="1:6">
      <c r="A27" s="348" t="s">
        <v>17</v>
      </c>
      <c r="B27" s="334">
        <v>0</v>
      </c>
    </row>
    <row r="28" spans="1:6" s="356" customFormat="1">
      <c r="A28" s="355" t="s">
        <v>18</v>
      </c>
      <c r="B28" s="355">
        <v>321885</v>
      </c>
    </row>
    <row r="29" spans="1:6">
      <c r="A29" s="355" t="s">
        <v>812</v>
      </c>
      <c r="B29" s="355">
        <v>174</v>
      </c>
      <c r="C29" s="356"/>
      <c r="D29" s="356"/>
      <c r="E29" s="356"/>
      <c r="F29" s="356"/>
    </row>
    <row r="30" spans="1:6">
      <c r="A30" s="355" t="s">
        <v>813</v>
      </c>
      <c r="B30" s="341">
        <v>17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101087.18256</v>
      </c>
    </row>
    <row r="36" spans="1:6">
      <c r="A36" s="348" t="s">
        <v>25</v>
      </c>
      <c r="B36" s="348" t="s">
        <v>27</v>
      </c>
      <c r="C36" s="334">
        <v>0</v>
      </c>
      <c r="D36" s="334">
        <v>0</v>
      </c>
      <c r="E36" s="334">
        <v>8</v>
      </c>
      <c r="F36" s="334">
        <v>683389.87141999998</v>
      </c>
    </row>
    <row r="37" spans="1:6">
      <c r="A37" s="348" t="s">
        <v>25</v>
      </c>
      <c r="B37" s="348" t="s">
        <v>28</v>
      </c>
      <c r="C37" s="334">
        <v>0</v>
      </c>
      <c r="D37" s="334">
        <v>0</v>
      </c>
      <c r="E37" s="334">
        <v>0</v>
      </c>
      <c r="F37" s="334">
        <v>0</v>
      </c>
    </row>
    <row r="38" spans="1:6">
      <c r="A38" s="348" t="s">
        <v>25</v>
      </c>
      <c r="B38" s="348" t="s">
        <v>29</v>
      </c>
      <c r="C38" s="334">
        <v>1</v>
      </c>
      <c r="D38" s="334">
        <v>108281655.84</v>
      </c>
      <c r="E38" s="334">
        <v>1</v>
      </c>
      <c r="F38" s="334">
        <v>947.90458642999999</v>
      </c>
    </row>
    <row r="39" spans="1:6">
      <c r="A39" s="348" t="s">
        <v>30</v>
      </c>
      <c r="B39" s="348" t="s">
        <v>31</v>
      </c>
      <c r="C39" s="334">
        <v>7286</v>
      </c>
      <c r="D39" s="334">
        <v>102288902.43000001</v>
      </c>
      <c r="E39" s="334">
        <v>12457</v>
      </c>
      <c r="F39" s="334">
        <v>50897019.306000002</v>
      </c>
    </row>
    <row r="40" spans="1:6">
      <c r="A40" s="348" t="s">
        <v>30</v>
      </c>
      <c r="B40" s="348" t="s">
        <v>29</v>
      </c>
      <c r="C40" s="334">
        <v>0</v>
      </c>
      <c r="D40" s="334">
        <v>0</v>
      </c>
      <c r="E40" s="334">
        <v>0</v>
      </c>
      <c r="F40" s="334">
        <v>0</v>
      </c>
    </row>
    <row r="41" spans="1:6">
      <c r="A41" s="348" t="s">
        <v>32</v>
      </c>
      <c r="B41" s="348" t="s">
        <v>33</v>
      </c>
      <c r="C41" s="334">
        <v>143</v>
      </c>
      <c r="D41" s="334">
        <v>3005093.6011999999</v>
      </c>
      <c r="E41" s="334">
        <v>369</v>
      </c>
      <c r="F41" s="334">
        <v>16884679.671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196500.10569</v>
      </c>
      <c r="E44" s="334">
        <v>28</v>
      </c>
      <c r="F44" s="334">
        <v>3279208.6773999999</v>
      </c>
    </row>
    <row r="45" spans="1:6">
      <c r="A45" s="348" t="s">
        <v>32</v>
      </c>
      <c r="B45" s="348" t="s">
        <v>37</v>
      </c>
      <c r="C45" s="334">
        <v>3</v>
      </c>
      <c r="D45" s="334">
        <v>116144.08078</v>
      </c>
      <c r="E45" s="334">
        <v>10</v>
      </c>
      <c r="F45" s="334">
        <v>2649330.8834000002</v>
      </c>
    </row>
    <row r="46" spans="1:6">
      <c r="A46" s="348" t="s">
        <v>32</v>
      </c>
      <c r="B46" s="348" t="s">
        <v>38</v>
      </c>
      <c r="C46" s="334">
        <v>0</v>
      </c>
      <c r="D46" s="334">
        <v>0</v>
      </c>
      <c r="E46" s="334">
        <v>0</v>
      </c>
      <c r="F46" s="334">
        <v>0</v>
      </c>
    </row>
    <row r="47" spans="1:6">
      <c r="A47" s="348" t="s">
        <v>32</v>
      </c>
      <c r="B47" s="348" t="s">
        <v>39</v>
      </c>
      <c r="C47" s="334">
        <v>11</v>
      </c>
      <c r="D47" s="334">
        <v>350569.16262000002</v>
      </c>
      <c r="E47" s="334">
        <v>14</v>
      </c>
      <c r="F47" s="334">
        <v>1141155.3145999999</v>
      </c>
    </row>
    <row r="48" spans="1:6">
      <c r="A48" s="348" t="s">
        <v>32</v>
      </c>
      <c r="B48" s="348" t="s">
        <v>29</v>
      </c>
      <c r="C48" s="334">
        <v>29</v>
      </c>
      <c r="D48" s="334">
        <v>60221540.840999998</v>
      </c>
      <c r="E48" s="334">
        <v>45</v>
      </c>
      <c r="F48" s="334">
        <v>7795955.5790999997</v>
      </c>
    </row>
    <row r="49" spans="1:6">
      <c r="A49" s="348" t="s">
        <v>32</v>
      </c>
      <c r="B49" s="348" t="s">
        <v>40</v>
      </c>
      <c r="C49" s="334">
        <v>8</v>
      </c>
      <c r="D49" s="334">
        <v>21299071.585000001</v>
      </c>
      <c r="E49" s="334">
        <v>22</v>
      </c>
      <c r="F49" s="334">
        <v>13699590.333000001</v>
      </c>
    </row>
    <row r="50" spans="1:6">
      <c r="A50" s="348" t="s">
        <v>32</v>
      </c>
      <c r="B50" s="348" t="s">
        <v>41</v>
      </c>
      <c r="C50" s="334">
        <v>17</v>
      </c>
      <c r="D50" s="334">
        <v>10661655.026000001</v>
      </c>
      <c r="E50" s="334">
        <v>48</v>
      </c>
      <c r="F50" s="334">
        <v>33029877.863000002</v>
      </c>
    </row>
    <row r="51" spans="1:6">
      <c r="A51" s="348" t="s">
        <v>42</v>
      </c>
      <c r="B51" s="348" t="s">
        <v>43</v>
      </c>
      <c r="C51" s="334">
        <v>11</v>
      </c>
      <c r="D51" s="334">
        <v>251983.32365000001</v>
      </c>
      <c r="E51" s="334">
        <v>195</v>
      </c>
      <c r="F51" s="334">
        <v>3783036.1367000001</v>
      </c>
    </row>
    <row r="52" spans="1:6">
      <c r="A52" s="348" t="s">
        <v>42</v>
      </c>
      <c r="B52" s="348" t="s">
        <v>29</v>
      </c>
      <c r="C52" s="334">
        <v>6</v>
      </c>
      <c r="D52" s="334">
        <v>32465160.976</v>
      </c>
      <c r="E52" s="334">
        <v>5</v>
      </c>
      <c r="F52" s="334">
        <v>174941.78294</v>
      </c>
    </row>
    <row r="53" spans="1:6">
      <c r="A53" s="348" t="s">
        <v>44</v>
      </c>
      <c r="B53" s="348" t="s">
        <v>45</v>
      </c>
      <c r="C53" s="334">
        <v>192</v>
      </c>
      <c r="D53" s="334">
        <v>8319572.7725999998</v>
      </c>
      <c r="E53" s="334">
        <v>524</v>
      </c>
      <c r="F53" s="334">
        <v>2305873.5628999998</v>
      </c>
    </row>
    <row r="54" spans="1:6">
      <c r="A54" s="348" t="s">
        <v>46</v>
      </c>
      <c r="B54" s="348" t="s">
        <v>47</v>
      </c>
      <c r="C54" s="334">
        <v>0</v>
      </c>
      <c r="D54" s="334">
        <v>0</v>
      </c>
      <c r="E54" s="334">
        <v>2</v>
      </c>
      <c r="F54" s="334">
        <v>2446399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117</v>
      </c>
      <c r="D57" s="334">
        <v>9991741.8785999995</v>
      </c>
      <c r="E57" s="334">
        <v>196</v>
      </c>
      <c r="F57" s="334">
        <v>4263440.2264</v>
      </c>
    </row>
    <row r="58" spans="1:6">
      <c r="A58" s="348" t="s">
        <v>49</v>
      </c>
      <c r="B58" s="348" t="s">
        <v>51</v>
      </c>
      <c r="C58" s="334">
        <v>80</v>
      </c>
      <c r="D58" s="334">
        <v>11126137.333000001</v>
      </c>
      <c r="E58" s="334">
        <v>119</v>
      </c>
      <c r="F58" s="334">
        <v>6485625.8052000003</v>
      </c>
    </row>
    <row r="59" spans="1:6">
      <c r="A59" s="348" t="s">
        <v>49</v>
      </c>
      <c r="B59" s="348" t="s">
        <v>52</v>
      </c>
      <c r="C59" s="334">
        <v>217</v>
      </c>
      <c r="D59" s="334">
        <v>12066960.698999999</v>
      </c>
      <c r="E59" s="334">
        <v>507</v>
      </c>
      <c r="F59" s="334">
        <v>20408175.793000001</v>
      </c>
    </row>
    <row r="60" spans="1:6">
      <c r="A60" s="348" t="s">
        <v>49</v>
      </c>
      <c r="B60" s="348" t="s">
        <v>53</v>
      </c>
      <c r="C60" s="334">
        <v>111</v>
      </c>
      <c r="D60" s="334">
        <v>4815924.7023</v>
      </c>
      <c r="E60" s="334">
        <v>178</v>
      </c>
      <c r="F60" s="334">
        <v>3640939.7174999998</v>
      </c>
    </row>
    <row r="61" spans="1:6">
      <c r="A61" s="348" t="s">
        <v>49</v>
      </c>
      <c r="B61" s="348" t="s">
        <v>54</v>
      </c>
      <c r="C61" s="334">
        <v>325</v>
      </c>
      <c r="D61" s="334">
        <v>13163921.569</v>
      </c>
      <c r="E61" s="334">
        <v>706</v>
      </c>
      <c r="F61" s="334">
        <v>7612459.4710999997</v>
      </c>
    </row>
    <row r="62" spans="1:6">
      <c r="A62" s="348" t="s">
        <v>49</v>
      </c>
      <c r="B62" s="348" t="s">
        <v>55</v>
      </c>
      <c r="C62" s="334">
        <v>21</v>
      </c>
      <c r="D62" s="334">
        <v>2835697.3796999999</v>
      </c>
      <c r="E62" s="334">
        <v>27</v>
      </c>
      <c r="F62" s="334">
        <v>1197082.2945999999</v>
      </c>
    </row>
    <row r="63" spans="1:6">
      <c r="A63" s="348" t="s">
        <v>49</v>
      </c>
      <c r="B63" s="348" t="s">
        <v>29</v>
      </c>
      <c r="C63" s="334">
        <v>97</v>
      </c>
      <c r="D63" s="334">
        <v>5793127.9051000001</v>
      </c>
      <c r="E63" s="334">
        <v>103</v>
      </c>
      <c r="F63" s="334">
        <v>4228500.6327</v>
      </c>
    </row>
    <row r="64" spans="1:6">
      <c r="A64" s="348" t="s">
        <v>56</v>
      </c>
      <c r="B64" s="348" t="s">
        <v>57</v>
      </c>
      <c r="C64" s="334">
        <v>0</v>
      </c>
      <c r="D64" s="334">
        <v>0</v>
      </c>
      <c r="E64" s="334">
        <v>0</v>
      </c>
      <c r="F64" s="334">
        <v>0</v>
      </c>
    </row>
    <row r="65" spans="1:6">
      <c r="A65" s="348" t="s">
        <v>56</v>
      </c>
      <c r="B65" s="348" t="s">
        <v>29</v>
      </c>
      <c r="C65" s="334">
        <v>3</v>
      </c>
      <c r="D65" s="334">
        <v>491321.64419999998</v>
      </c>
      <c r="E65" s="334">
        <v>2</v>
      </c>
      <c r="F65" s="334">
        <v>16854.759456</v>
      </c>
    </row>
    <row r="66" spans="1:6">
      <c r="A66" s="348" t="s">
        <v>56</v>
      </c>
      <c r="B66" s="348" t="s">
        <v>58</v>
      </c>
      <c r="C66" s="334">
        <v>0</v>
      </c>
      <c r="D66" s="334">
        <v>0</v>
      </c>
      <c r="E66" s="334">
        <v>24</v>
      </c>
      <c r="F66" s="334">
        <v>543673.28740000003</v>
      </c>
    </row>
    <row r="67" spans="1:6">
      <c r="A67" s="355" t="s">
        <v>56</v>
      </c>
      <c r="B67" s="355" t="s">
        <v>59</v>
      </c>
      <c r="C67" s="334">
        <v>0</v>
      </c>
      <c r="D67" s="334">
        <v>0</v>
      </c>
      <c r="E67" s="334">
        <v>0</v>
      </c>
      <c r="F67" s="334">
        <v>0</v>
      </c>
    </row>
    <row r="68" spans="1:6">
      <c r="A68" s="341" t="s">
        <v>56</v>
      </c>
      <c r="B68" s="341" t="s">
        <v>60</v>
      </c>
      <c r="C68" s="334">
        <v>10</v>
      </c>
      <c r="D68" s="334">
        <v>1203204.8152000001</v>
      </c>
      <c r="E68" s="334">
        <v>22</v>
      </c>
      <c r="F68" s="334">
        <v>1487912.1965000001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125902215</v>
      </c>
      <c r="E73" s="476">
        <v>125412089.49022633</v>
      </c>
    </row>
    <row r="74" spans="1:6">
      <c r="A74" s="348" t="s">
        <v>64</v>
      </c>
      <c r="B74" s="348" t="s">
        <v>667</v>
      </c>
      <c r="C74" s="1212" t="s">
        <v>669</v>
      </c>
      <c r="D74" s="476">
        <v>14263965.871709555</v>
      </c>
      <c r="E74" s="476">
        <v>14189101.587460106</v>
      </c>
    </row>
    <row r="75" spans="1:6">
      <c r="A75" s="348" t="s">
        <v>65</v>
      </c>
      <c r="B75" s="348" t="s">
        <v>666</v>
      </c>
      <c r="C75" s="1212" t="s">
        <v>670</v>
      </c>
      <c r="D75" s="476">
        <v>32860929</v>
      </c>
      <c r="E75" s="476">
        <v>32440603.979780994</v>
      </c>
    </row>
    <row r="76" spans="1:6">
      <c r="A76" s="348" t="s">
        <v>65</v>
      </c>
      <c r="B76" s="348" t="s">
        <v>667</v>
      </c>
      <c r="C76" s="1212" t="s">
        <v>671</v>
      </c>
      <c r="D76" s="476">
        <v>1637166.8717095556</v>
      </c>
      <c r="E76" s="476">
        <v>1605690.0850355516</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574704.25658088876</v>
      </c>
      <c r="C83" s="476">
        <v>574704.25658088876</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5885.7894553825681</v>
      </c>
    </row>
    <row r="92" spans="1:6">
      <c r="A92" s="341" t="s">
        <v>69</v>
      </c>
      <c r="B92" s="342">
        <v>4517.0674833512512</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3409</v>
      </c>
    </row>
    <row r="98" spans="1:6">
      <c r="A98" s="348" t="s">
        <v>72</v>
      </c>
      <c r="B98" s="334">
        <v>2</v>
      </c>
    </row>
    <row r="99" spans="1:6">
      <c r="A99" s="348" t="s">
        <v>73</v>
      </c>
      <c r="B99" s="334">
        <v>265</v>
      </c>
    </row>
    <row r="100" spans="1:6">
      <c r="A100" s="348" t="s">
        <v>74</v>
      </c>
      <c r="B100" s="334">
        <v>1431</v>
      </c>
    </row>
    <row r="101" spans="1:6">
      <c r="A101" s="348" t="s">
        <v>75</v>
      </c>
      <c r="B101" s="334">
        <v>184</v>
      </c>
    </row>
    <row r="102" spans="1:6">
      <c r="A102" s="348" t="s">
        <v>76</v>
      </c>
      <c r="B102" s="334">
        <v>208</v>
      </c>
    </row>
    <row r="103" spans="1:6">
      <c r="A103" s="348" t="s">
        <v>77</v>
      </c>
      <c r="B103" s="334">
        <v>358</v>
      </c>
    </row>
    <row r="104" spans="1:6">
      <c r="A104" s="348" t="s">
        <v>78</v>
      </c>
      <c r="B104" s="334">
        <v>4923</v>
      </c>
    </row>
    <row r="105" spans="1:6">
      <c r="A105" s="341" t="s">
        <v>79</v>
      </c>
      <c r="B105" s="341">
        <v>6</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39</v>
      </c>
      <c r="C123" s="334">
        <v>59</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312</v>
      </c>
    </row>
    <row r="130" spans="1:6">
      <c r="A130" s="348" t="s">
        <v>295</v>
      </c>
      <c r="B130" s="334">
        <v>0</v>
      </c>
    </row>
    <row r="131" spans="1:6">
      <c r="A131" s="348" t="s">
        <v>296</v>
      </c>
      <c r="B131" s="334">
        <v>5</v>
      </c>
    </row>
    <row r="132" spans="1:6">
      <c r="A132" s="341" t="s">
        <v>297</v>
      </c>
      <c r="B132" s="342">
        <v>26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189540.41174290478</v>
      </c>
      <c r="C3" s="43" t="s">
        <v>170</v>
      </c>
      <c r="D3" s="43"/>
      <c r="E3" s="154"/>
      <c r="F3" s="43"/>
      <c r="G3" s="43"/>
      <c r="H3" s="43"/>
      <c r="I3" s="43"/>
      <c r="J3" s="43"/>
      <c r="K3" s="96"/>
    </row>
    <row r="4" spans="1:11">
      <c r="A4" s="383" t="s">
        <v>171</v>
      </c>
      <c r="B4" s="49">
        <f>IF(ISERROR('SEAP template'!B69),0,'SEAP template'!B69)</f>
        <v>78501.356938733821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10186.14705882353</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0.1832104185657665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14551.638655462186</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97283.57142857142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0.14957960981260279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2446.3989999999999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2446.3989999999999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0.1832104185657665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448.2057847688726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50897.019306000002</v>
      </c>
      <c r="C5" s="17">
        <f>IF(ISERROR('Eigen informatie GS &amp; warmtenet'!B57),0,'Eigen informatie GS &amp; warmtenet'!B57)</f>
        <v>0</v>
      </c>
      <c r="D5" s="30">
        <f>(SUM(HH_hh_gas_kWh,HH_rest_gas_kWh)/1000)*0.902</f>
        <v>92264.589991860004</v>
      </c>
      <c r="E5" s="17">
        <f>B46*B57</f>
        <v>12791.853226051158</v>
      </c>
      <c r="F5" s="17">
        <f>B51*B62</f>
        <v>34899.346387995996</v>
      </c>
      <c r="G5" s="18"/>
      <c r="H5" s="17"/>
      <c r="I5" s="17"/>
      <c r="J5" s="17">
        <f>B50*B61+C50*C61</f>
        <v>0</v>
      </c>
      <c r="K5" s="17"/>
      <c r="L5" s="17"/>
      <c r="M5" s="17"/>
      <c r="N5" s="17">
        <f>B48*B59+C48*C59</f>
        <v>25225.154991538577</v>
      </c>
      <c r="O5" s="17">
        <f>B69*B70*B71</f>
        <v>579.99666666666667</v>
      </c>
      <c r="P5" s="17">
        <f>B77*B78*B79/1000-B77*B78*B79/1000/B80</f>
        <v>1258.4000000000001</v>
      </c>
    </row>
    <row r="6" spans="1:16">
      <c r="A6" s="16" t="s">
        <v>624</v>
      </c>
      <c r="B6" s="843">
        <f>kWh_PV_kleiner_dan_10kW</f>
        <v>5885.7894553825681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56782.80876138257</v>
      </c>
      <c r="C8" s="21">
        <f>C5</f>
        <v>0</v>
      </c>
      <c r="D8" s="21">
        <f>D5</f>
        <v>92264.589991860004</v>
      </c>
      <c r="E8" s="21">
        <f>E5</f>
        <v>12791.853226051158</v>
      </c>
      <c r="F8" s="21">
        <f>F5</f>
        <v>34899.346387995996</v>
      </c>
      <c r="G8" s="21"/>
      <c r="H8" s="21"/>
      <c r="I8" s="21"/>
      <c r="J8" s="21">
        <f>J5</f>
        <v>0</v>
      </c>
      <c r="K8" s="21"/>
      <c r="L8" s="21">
        <f>L5</f>
        <v>0</v>
      </c>
      <c r="M8" s="21">
        <f>M5</f>
        <v>0</v>
      </c>
      <c r="N8" s="21">
        <f>N5</f>
        <v>25225.154991538577</v>
      </c>
      <c r="O8" s="21">
        <f>O5</f>
        <v>579.99666666666667</v>
      </c>
      <c r="P8" s="21">
        <f>P5</f>
        <v>1258.4000000000001</v>
      </c>
    </row>
    <row r="9" spans="1:16">
      <c r="B9" s="19"/>
      <c r="C9" s="19"/>
      <c r="D9" s="258"/>
      <c r="E9" s="19"/>
      <c r="F9" s="19"/>
      <c r="G9" s="19"/>
      <c r="H9" s="19"/>
      <c r="I9" s="19"/>
      <c r="J9" s="19"/>
      <c r="K9" s="19"/>
      <c r="L9" s="19"/>
      <c r="M9" s="19"/>
      <c r="N9" s="19"/>
      <c r="O9" s="19"/>
      <c r="P9" s="19"/>
    </row>
    <row r="10" spans="1:16">
      <c r="A10" s="24" t="s">
        <v>214</v>
      </c>
      <c r="B10" s="25">
        <f ca="1">'EF ele_warmte'!B12</f>
        <v>0.1832104185657665</v>
      </c>
      <c r="C10" s="25">
        <f ca="1">'EF ele_warmte'!B22</f>
        <v>0.14957960981260279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10403.202160512774</v>
      </c>
      <c r="C12" s="23">
        <f ca="1">C10*C8</f>
        <v>0</v>
      </c>
      <c r="D12" s="23">
        <f>D8*D10</f>
        <v>18637.447178355724</v>
      </c>
      <c r="E12" s="23">
        <f>E10*E8</f>
        <v>2903.7506823136132</v>
      </c>
      <c r="F12" s="23">
        <f>F10*F8</f>
        <v>9318.1254855949319</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3409</v>
      </c>
      <c r="C18" s="166" t="s">
        <v>111</v>
      </c>
      <c r="D18" s="228"/>
      <c r="E18" s="15"/>
    </row>
    <row r="19" spans="1:7">
      <c r="A19" s="171" t="s">
        <v>72</v>
      </c>
      <c r="B19" s="37">
        <f>aantalw2001_ander</f>
        <v>2</v>
      </c>
      <c r="C19" s="166" t="s">
        <v>111</v>
      </c>
      <c r="D19" s="229"/>
      <c r="E19" s="15"/>
    </row>
    <row r="20" spans="1:7">
      <c r="A20" s="171" t="s">
        <v>73</v>
      </c>
      <c r="B20" s="37">
        <f>aantalw2001_propaan</f>
        <v>265</v>
      </c>
      <c r="C20" s="167">
        <f>IF(ISERROR(B20/SUM($B$20,$B$21,$B$22)*100),0,B20/SUM($B$20,$B$21,$B$22)*100)</f>
        <v>14.095744680851062</v>
      </c>
      <c r="D20" s="229"/>
      <c r="E20" s="15"/>
    </row>
    <row r="21" spans="1:7">
      <c r="A21" s="171" t="s">
        <v>74</v>
      </c>
      <c r="B21" s="37">
        <f>aantalw2001_elektriciteit</f>
        <v>1431</v>
      </c>
      <c r="C21" s="167">
        <f>IF(ISERROR(B21/SUM($B$20,$B$21,$B$22)*100),0,B21/SUM($B$20,$B$21,$B$22)*100)</f>
        <v>76.117021276595736</v>
      </c>
      <c r="D21" s="229"/>
      <c r="E21" s="15"/>
    </row>
    <row r="22" spans="1:7">
      <c r="A22" s="171" t="s">
        <v>75</v>
      </c>
      <c r="B22" s="37">
        <f>aantalw2001_hout</f>
        <v>184</v>
      </c>
      <c r="C22" s="167">
        <f>IF(ISERROR(B22/SUM($B$20,$B$21,$B$22)*100),0,B22/SUM($B$20,$B$21,$B$22)*100)</f>
        <v>9.787234042553191</v>
      </c>
      <c r="D22" s="229"/>
      <c r="E22" s="15"/>
    </row>
    <row r="23" spans="1:7">
      <c r="A23" s="171" t="s">
        <v>76</v>
      </c>
      <c r="B23" s="37">
        <f>aantalw2001_niet_gespec</f>
        <v>208</v>
      </c>
      <c r="C23" s="166" t="s">
        <v>111</v>
      </c>
      <c r="D23" s="228"/>
      <c r="E23" s="15"/>
    </row>
    <row r="24" spans="1:7">
      <c r="A24" s="171" t="s">
        <v>77</v>
      </c>
      <c r="B24" s="37">
        <f>aantalw2001_steenkool</f>
        <v>358</v>
      </c>
      <c r="C24" s="166" t="s">
        <v>111</v>
      </c>
      <c r="D24" s="229"/>
      <c r="E24" s="15"/>
    </row>
    <row r="25" spans="1:7">
      <c r="A25" s="171" t="s">
        <v>78</v>
      </c>
      <c r="B25" s="37">
        <f>aantalw2001_stookolie</f>
        <v>4923</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698</v>
      </c>
      <c r="B28" s="37">
        <f>aantalHuishoudens2011</f>
        <v>12798</v>
      </c>
      <c r="C28" s="36"/>
      <c r="D28" s="228"/>
    </row>
    <row r="29" spans="1:7" s="15" customFormat="1">
      <c r="A29" s="230" t="s">
        <v>699</v>
      </c>
      <c r="B29" s="37">
        <f>SUM(HH_hh_gas_aantal,HH_rest_gas_aantal)</f>
        <v>7286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7286</v>
      </c>
      <c r="C32" s="167">
        <f>IF(ISERROR(B32/SUM($B$32,$B$34,$B$35,$B$36,$B$38,$B$39)*100),0,B32/SUM($B$32,$B$34,$B$35,$B$36,$B$38,$B$39)*100)</f>
        <v>57.225887527489796</v>
      </c>
      <c r="D32" s="233"/>
      <c r="G32" s="15"/>
    </row>
    <row r="33" spans="1:7">
      <c r="A33" s="171" t="s">
        <v>72</v>
      </c>
      <c r="B33" s="34" t="s">
        <v>111</v>
      </c>
      <c r="C33" s="167"/>
      <c r="D33" s="233"/>
      <c r="G33" s="15"/>
    </row>
    <row r="34" spans="1:7">
      <c r="A34" s="171" t="s">
        <v>73</v>
      </c>
      <c r="B34" s="33">
        <f>IF((($B$28-$B$32-$B$39-$B$77-$B$38)*C20/100)&lt;0,0,($B$28-$B$32-$B$39-$B$77-$B$38)*C20/100)</f>
        <v>565.5635638297872</v>
      </c>
      <c r="C34" s="167">
        <f>IF(ISERROR(B34/SUM($B$32,$B$34,$B$35,$B$36,$B$38,$B$39)*100),0,B34/SUM($B$32,$B$34,$B$35,$B$36,$B$38,$B$39)*100)</f>
        <v>4.4420638063916682</v>
      </c>
      <c r="D34" s="233"/>
      <c r="G34" s="15"/>
    </row>
    <row r="35" spans="1:7">
      <c r="A35" s="171" t="s">
        <v>74</v>
      </c>
      <c r="B35" s="33">
        <f>IF((($B$28-$B$32-$B$39-$B$77-$B$38)*C21/100)&lt;0,0,($B$28-$B$32-$B$39-$B$77-$B$38)*C21/100)</f>
        <v>3054.0432446808509</v>
      </c>
      <c r="C35" s="167">
        <f>IF(ISERROR(B35/SUM($B$32,$B$34,$B$35,$B$36,$B$38,$B$39)*100),0,B35/SUM($B$32,$B$34,$B$35,$B$36,$B$38,$B$39)*100)</f>
        <v>23.987144554515009</v>
      </c>
      <c r="D35" s="233"/>
      <c r="G35" s="15"/>
    </row>
    <row r="36" spans="1:7">
      <c r="A36" s="171" t="s">
        <v>75</v>
      </c>
      <c r="B36" s="33">
        <f>IF((($B$28-$B$32-$B$39-$B$77-$B$38)*C22/100)&lt;0,0,($B$28-$B$32-$B$39-$B$77-$B$38)*C22/100)</f>
        <v>392.69319148936171</v>
      </c>
      <c r="C36" s="167">
        <f>IF(ISERROR(B36/SUM($B$32,$B$34,$B$35,$B$36,$B$38,$B$39)*100),0,B36/SUM($B$32,$B$34,$B$35,$B$36,$B$38,$B$39)*100)</f>
        <v>3.084300907079498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1433.6999999999998</v>
      </c>
      <c r="C39" s="167">
        <f>IF(ISERROR(B39/SUM($B$32,$B$34,$B$35,$B$36,$B$38,$B$39)*100),0,B39/SUM($B$32,$B$34,$B$35,$B$36,$B$38,$B$39)*100)</f>
        <v>11.260603204524031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7286</v>
      </c>
      <c r="C44" s="34" t="s">
        <v>111</v>
      </c>
      <c r="D44" s="174"/>
    </row>
    <row r="45" spans="1:7">
      <c r="A45" s="171" t="s">
        <v>72</v>
      </c>
      <c r="B45" s="33" t="str">
        <f t="shared" si="0"/>
        <v>-</v>
      </c>
      <c r="C45" s="34" t="s">
        <v>111</v>
      </c>
      <c r="D45" s="174"/>
    </row>
    <row r="46" spans="1:7">
      <c r="A46" s="171" t="s">
        <v>73</v>
      </c>
      <c r="B46" s="33">
        <f t="shared" si="0"/>
        <v>565.5635638297872</v>
      </c>
      <c r="C46" s="34" t="s">
        <v>111</v>
      </c>
      <c r="D46" s="174"/>
    </row>
    <row r="47" spans="1:7">
      <c r="A47" s="171" t="s">
        <v>74</v>
      </c>
      <c r="B47" s="33">
        <f t="shared" si="0"/>
        <v>3054.0432446808509</v>
      </c>
      <c r="C47" s="34" t="s">
        <v>111</v>
      </c>
      <c r="D47" s="174"/>
    </row>
    <row r="48" spans="1:7">
      <c r="A48" s="171" t="s">
        <v>75</v>
      </c>
      <c r="B48" s="33">
        <f t="shared" si="0"/>
        <v>392.69319148936171</v>
      </c>
      <c r="C48" s="33">
        <f>B48*10</f>
        <v>3926.931914893617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1433.6999999999998</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371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66</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47836.2239405</v>
      </c>
      <c r="C5" s="17">
        <f>IF(ISERROR('Eigen informatie GS &amp; warmtenet'!B58),0,'Eigen informatie GS &amp; warmtenet'!B58)</f>
        <v>0</v>
      </c>
      <c r="D5" s="30">
        <f>SUM(D6:D12)</f>
        <v>53933.747342963405</v>
      </c>
      <c r="E5" s="17">
        <f>SUM(E6:E12)</f>
        <v>948.06150904602453</v>
      </c>
      <c r="F5" s="17">
        <f>SUM(F6:F12)</f>
        <v>11443.657903186166</v>
      </c>
      <c r="G5" s="18"/>
      <c r="H5" s="17"/>
      <c r="I5" s="17"/>
      <c r="J5" s="17">
        <f>SUM(J6:J12)</f>
        <v>0</v>
      </c>
      <c r="K5" s="17"/>
      <c r="L5" s="17"/>
      <c r="M5" s="17"/>
      <c r="N5" s="17">
        <f>SUM(N6:N12)</f>
        <v>3844.1509747296527</v>
      </c>
      <c r="O5" s="17">
        <f>B38*B39*B40</f>
        <v>0</v>
      </c>
      <c r="P5" s="17">
        <f>B46*B47*B48/1000-B46*B47*B48/1000/B49</f>
        <v>114.4</v>
      </c>
      <c r="R5" s="32"/>
    </row>
    <row r="6" spans="1:18">
      <c r="A6" s="32" t="s">
        <v>54</v>
      </c>
      <c r="B6" s="37">
        <f>B26</f>
        <v>7612.4594711</v>
      </c>
      <c r="C6" s="33"/>
      <c r="D6" s="37">
        <f>IF(ISERROR(TER_kantoor_gas_kWh/1000),0,TER_kantoor_gas_kWh/1000)*0.902</f>
        <v>11873.857255238001</v>
      </c>
      <c r="E6" s="33">
        <f>$C$26*'E Balans VL '!I12/100/3.6*1000000</f>
        <v>99.656471667037067</v>
      </c>
      <c r="F6" s="33">
        <f>$C$26*('E Balans VL '!L12+'E Balans VL '!N12)/100/3.6*1000000</f>
        <v>1941.0985009128194</v>
      </c>
      <c r="G6" s="34"/>
      <c r="H6" s="33"/>
      <c r="I6" s="33"/>
      <c r="J6" s="33">
        <f>$C$26*('E Balans VL '!D12+'E Balans VL '!E12)/100/3.6*1000000</f>
        <v>0</v>
      </c>
      <c r="K6" s="33"/>
      <c r="L6" s="33"/>
      <c r="M6" s="33"/>
      <c r="N6" s="33">
        <f>$C$26*'E Balans VL '!Y12/100/3.6*1000000</f>
        <v>7.6380940206242132</v>
      </c>
      <c r="O6" s="33"/>
      <c r="P6" s="33"/>
      <c r="R6" s="32"/>
    </row>
    <row r="7" spans="1:18">
      <c r="A7" s="32" t="s">
        <v>53</v>
      </c>
      <c r="B7" s="37">
        <f t="shared" ref="B7:B12" si="0">B27</f>
        <v>3640.9397174999999</v>
      </c>
      <c r="C7" s="33"/>
      <c r="D7" s="37">
        <f>IF(ISERROR(TER_horeca_gas_kWh/1000),0,TER_horeca_gas_kWh/1000)*0.902</f>
        <v>4343.9640814745999</v>
      </c>
      <c r="E7" s="33">
        <f>$C$27*'E Balans VL '!I9/100/3.6*1000000</f>
        <v>120.49295755589351</v>
      </c>
      <c r="F7" s="33">
        <f>$C$27*('E Balans VL '!L9+'E Balans VL '!N9)/100/3.6*1000000</f>
        <v>1565.5901247538065</v>
      </c>
      <c r="G7" s="34"/>
      <c r="H7" s="33"/>
      <c r="I7" s="33"/>
      <c r="J7" s="33">
        <f>$C$27*('E Balans VL '!D9+'E Balans VL '!E9)/100/3.6*1000000</f>
        <v>0</v>
      </c>
      <c r="K7" s="33"/>
      <c r="L7" s="33"/>
      <c r="M7" s="33"/>
      <c r="N7" s="33">
        <f>$C$27*'E Balans VL '!Y9/100/3.6*1000000</f>
        <v>0.87642706224919498</v>
      </c>
      <c r="O7" s="33"/>
      <c r="P7" s="33"/>
      <c r="R7" s="32"/>
    </row>
    <row r="8" spans="1:18">
      <c r="A8" s="6" t="s">
        <v>52</v>
      </c>
      <c r="B8" s="37">
        <f t="shared" si="0"/>
        <v>20408.175793000002</v>
      </c>
      <c r="C8" s="33"/>
      <c r="D8" s="37">
        <f>IF(ISERROR(TER_handel_gas_kWh/1000),0,TER_handel_gas_kWh/1000)*0.902</f>
        <v>10884.398550497999</v>
      </c>
      <c r="E8" s="33">
        <f>$C$28*'E Balans VL '!I13/100/3.6*1000000</f>
        <v>644.11321079148729</v>
      </c>
      <c r="F8" s="33">
        <f>$C$28*('E Balans VL '!L13+'E Balans VL '!N13)/100/3.6*1000000</f>
        <v>4002.4026386716168</v>
      </c>
      <c r="G8" s="34"/>
      <c r="H8" s="33"/>
      <c r="I8" s="33"/>
      <c r="J8" s="33">
        <f>$C$28*('E Balans VL '!D13+'E Balans VL '!E13)/100/3.6*1000000</f>
        <v>0</v>
      </c>
      <c r="K8" s="33"/>
      <c r="L8" s="33"/>
      <c r="M8" s="33"/>
      <c r="N8" s="33">
        <f>$C$28*'E Balans VL '!Y13/100/3.6*1000000</f>
        <v>24.220542467602591</v>
      </c>
      <c r="O8" s="33"/>
      <c r="P8" s="33"/>
      <c r="R8" s="32"/>
    </row>
    <row r="9" spans="1:18">
      <c r="A9" s="32" t="s">
        <v>51</v>
      </c>
      <c r="B9" s="37">
        <f t="shared" si="0"/>
        <v>6485.6258052000003</v>
      </c>
      <c r="C9" s="33"/>
      <c r="D9" s="37">
        <f>IF(ISERROR(TER_gezond_gas_kWh/1000),0,TER_gezond_gas_kWh/1000)*0.902</f>
        <v>10035.775874366002</v>
      </c>
      <c r="E9" s="33">
        <f>$C$29*'E Balans VL '!I10/100/3.6*1000000</f>
        <v>0.83034983583871669</v>
      </c>
      <c r="F9" s="33">
        <f>$C$29*('E Balans VL '!L10+'E Balans VL '!N10)/100/3.6*1000000</f>
        <v>1351.2276927127632</v>
      </c>
      <c r="G9" s="34"/>
      <c r="H9" s="33"/>
      <c r="I9" s="33"/>
      <c r="J9" s="33">
        <f>$C$29*('E Balans VL '!D10+'E Balans VL '!E10)/100/3.6*1000000</f>
        <v>0</v>
      </c>
      <c r="K9" s="33"/>
      <c r="L9" s="33"/>
      <c r="M9" s="33"/>
      <c r="N9" s="33">
        <f>$C$29*'E Balans VL '!Y10/100/3.6*1000000</f>
        <v>76.176740591839319</v>
      </c>
      <c r="O9" s="33"/>
      <c r="P9" s="33"/>
      <c r="R9" s="32"/>
    </row>
    <row r="10" spans="1:18">
      <c r="A10" s="32" t="s">
        <v>50</v>
      </c>
      <c r="B10" s="37">
        <f t="shared" si="0"/>
        <v>4263.4402264</v>
      </c>
      <c r="C10" s="33"/>
      <c r="D10" s="37">
        <f>IF(ISERROR(TER_ander_gas_kWh/1000),0,TER_ander_gas_kWh/1000)*0.902</f>
        <v>9012.5511744972009</v>
      </c>
      <c r="E10" s="33">
        <f>$C$30*'E Balans VL '!I14/100/3.6*1000000</f>
        <v>6.4112114860781944</v>
      </c>
      <c r="F10" s="33">
        <f>$C$30*('E Balans VL '!L14+'E Balans VL '!N14)/100/3.6*1000000</f>
        <v>941.23017171164145</v>
      </c>
      <c r="G10" s="34"/>
      <c r="H10" s="33"/>
      <c r="I10" s="33"/>
      <c r="J10" s="33">
        <f>$C$30*('E Balans VL '!D14+'E Balans VL '!E14)/100/3.6*1000000</f>
        <v>0</v>
      </c>
      <c r="K10" s="33"/>
      <c r="L10" s="33"/>
      <c r="M10" s="33"/>
      <c r="N10" s="33">
        <f>$C$30*'E Balans VL '!Y14/100/3.6*1000000</f>
        <v>3359.8778171125246</v>
      </c>
      <c r="O10" s="33"/>
      <c r="P10" s="33"/>
      <c r="R10" s="32"/>
    </row>
    <row r="11" spans="1:18">
      <c r="A11" s="32" t="s">
        <v>55</v>
      </c>
      <c r="B11" s="37">
        <f t="shared" si="0"/>
        <v>1197.0822945999998</v>
      </c>
      <c r="C11" s="33"/>
      <c r="D11" s="37">
        <f>IF(ISERROR(TER_onderwijs_gas_kWh/1000),0,TER_onderwijs_gas_kWh/1000)*0.902</f>
        <v>2557.7990364893999</v>
      </c>
      <c r="E11" s="33">
        <f>$C$31*'E Balans VL '!I11/100/3.6*1000000</f>
        <v>2.1081622359401337</v>
      </c>
      <c r="F11" s="33">
        <f>$C$31*('E Balans VL '!L11+'E Balans VL '!N11)/100/3.6*1000000</f>
        <v>552.71455658511468</v>
      </c>
      <c r="G11" s="34"/>
      <c r="H11" s="33"/>
      <c r="I11" s="33"/>
      <c r="J11" s="33">
        <f>$C$31*('E Balans VL '!D11+'E Balans VL '!E11)/100/3.6*1000000</f>
        <v>0</v>
      </c>
      <c r="K11" s="33"/>
      <c r="L11" s="33"/>
      <c r="M11" s="33"/>
      <c r="N11" s="33">
        <f>$C$31*'E Balans VL '!Y11/100/3.6*1000000</f>
        <v>2.2301808690259501</v>
      </c>
      <c r="O11" s="33"/>
      <c r="P11" s="33"/>
      <c r="R11" s="32"/>
    </row>
    <row r="12" spans="1:18">
      <c r="A12" s="32" t="s">
        <v>260</v>
      </c>
      <c r="B12" s="37">
        <f t="shared" si="0"/>
        <v>4228.5006327000001</v>
      </c>
      <c r="C12" s="33"/>
      <c r="D12" s="37">
        <f>IF(ISERROR(TER_rest_gas_kWh/1000),0,TER_rest_gas_kWh/1000)*0.902</f>
        <v>5225.4013704002</v>
      </c>
      <c r="E12" s="33">
        <f>$C$32*'E Balans VL '!I8/100/3.6*1000000</f>
        <v>74.449145473749681</v>
      </c>
      <c r="F12" s="33">
        <f>$C$32*('E Balans VL '!L8+'E Balans VL '!N8)/100/3.6*1000000</f>
        <v>1089.3942178384045</v>
      </c>
      <c r="G12" s="34"/>
      <c r="H12" s="33"/>
      <c r="I12" s="33"/>
      <c r="J12" s="33">
        <f>$C$32*('E Balans VL '!D8+'E Balans VL '!E8)/100/3.6*1000000</f>
        <v>0</v>
      </c>
      <c r="K12" s="33"/>
      <c r="L12" s="33"/>
      <c r="M12" s="33"/>
      <c r="N12" s="33">
        <f>$C$32*'E Balans VL '!Y8/100/3.6*1000000</f>
        <v>373.1311726057869</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47836.2239405</v>
      </c>
      <c r="C16" s="21">
        <f t="shared" ca="1" si="1"/>
        <v>0</v>
      </c>
      <c r="D16" s="21">
        <f t="shared" ca="1" si="1"/>
        <v>53933.747342963405</v>
      </c>
      <c r="E16" s="21">
        <f t="shared" si="1"/>
        <v>948.06150904602453</v>
      </c>
      <c r="F16" s="21">
        <f t="shared" ca="1" si="1"/>
        <v>11443.657903186166</v>
      </c>
      <c r="G16" s="21">
        <f t="shared" si="1"/>
        <v>0</v>
      </c>
      <c r="H16" s="21">
        <f t="shared" si="1"/>
        <v>0</v>
      </c>
      <c r="I16" s="21">
        <f t="shared" si="1"/>
        <v>0</v>
      </c>
      <c r="J16" s="21">
        <f t="shared" si="1"/>
        <v>0</v>
      </c>
      <c r="K16" s="21">
        <f t="shared" si="1"/>
        <v>0</v>
      </c>
      <c r="L16" s="21">
        <f t="shared" ca="1" si="1"/>
        <v>0</v>
      </c>
      <c r="M16" s="21">
        <f t="shared" si="1"/>
        <v>0</v>
      </c>
      <c r="N16" s="21">
        <f t="shared" ca="1" si="1"/>
        <v>3844.1509747296527</v>
      </c>
      <c r="O16" s="21">
        <f>O5</f>
        <v>0</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0.1832104185657665</v>
      </c>
      <c r="C18" s="25">
        <f ca="1">'EF ele_warmte'!B22</f>
        <v>0.14957960981260279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8764.0946107447453</v>
      </c>
      <c r="C20" s="23">
        <f t="shared" ref="C20:P20" ca="1" si="2">C16*C18</f>
        <v>0</v>
      </c>
      <c r="D20" s="23">
        <f t="shared" ca="1" si="2"/>
        <v>10894.616963278608</v>
      </c>
      <c r="E20" s="23">
        <f t="shared" si="2"/>
        <v>215.20996255344758</v>
      </c>
      <c r="F20" s="23">
        <f t="shared" ca="1" si="2"/>
        <v>3055.4566601507063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7612.4594711</v>
      </c>
      <c r="C26" s="39">
        <f>IF(ISERROR(B26*3.6/1000000/'E Balans VL '!Z12*100),0,B26*3.6/1000000/'E Balans VL '!Z12*100)</f>
        <v>0.163064795760441</v>
      </c>
      <c r="D26" s="237" t="s">
        <v>660</v>
      </c>
      <c r="F26" s="6"/>
    </row>
    <row r="27" spans="1:18">
      <c r="A27" s="231" t="s">
        <v>53</v>
      </c>
      <c r="B27" s="33">
        <f>IF(ISERROR(TER_horeca_ele_kWh/1000),0,TER_horeca_ele_kWh/1000)</f>
        <v>3640.9397174999999</v>
      </c>
      <c r="C27" s="39">
        <f>IF(ISERROR(B27*3.6/1000000/'E Balans VL '!Z9*100),0,B27*3.6/1000000/'E Balans VL '!Z9*100)</f>
        <v>0.29217275655209657</v>
      </c>
      <c r="D27" s="237" t="s">
        <v>660</v>
      </c>
      <c r="F27" s="6"/>
    </row>
    <row r="28" spans="1:18">
      <c r="A28" s="171" t="s">
        <v>52</v>
      </c>
      <c r="B28" s="33">
        <f>IF(ISERROR(TER_handel_ele_kWh/1000),0,TER_handel_ele_kWh/1000)</f>
        <v>20408.175793000002</v>
      </c>
      <c r="C28" s="39">
        <f>IF(ISERROR(B28*3.6/1000000/'E Balans VL '!Z13*100),0,B28*3.6/1000000/'E Balans VL '!Z13*100)</f>
        <v>0.60192412926616101</v>
      </c>
      <c r="D28" s="237" t="s">
        <v>660</v>
      </c>
      <c r="F28" s="6"/>
    </row>
    <row r="29" spans="1:18">
      <c r="A29" s="231" t="s">
        <v>51</v>
      </c>
      <c r="B29" s="33">
        <f>IF(ISERROR(TER_gezond_ele_kWh/1000),0,TER_gezond_ele_kWh/1000)</f>
        <v>6485.6258052000003</v>
      </c>
      <c r="C29" s="39">
        <f>IF(ISERROR(B29*3.6/1000000/'E Balans VL '!Z10*100),0,B29*3.6/1000000/'E Balans VL '!Z10*100)</f>
        <v>0.69249094984684578</v>
      </c>
      <c r="D29" s="237" t="s">
        <v>660</v>
      </c>
      <c r="F29" s="6"/>
    </row>
    <row r="30" spans="1:18">
      <c r="A30" s="231" t="s">
        <v>50</v>
      </c>
      <c r="B30" s="33">
        <f>IF(ISERROR(TER_ander_ele_kWh/1000),0,TER_ander_ele_kWh/1000)</f>
        <v>4263.4402264</v>
      </c>
      <c r="C30" s="39">
        <f>IF(ISERROR(B30*3.6/1000000/'E Balans VL '!Z14*100),0,B30*3.6/1000000/'E Balans VL '!Z14*100)</f>
        <v>0.32203438215445035</v>
      </c>
      <c r="D30" s="237" t="s">
        <v>660</v>
      </c>
      <c r="F30" s="6"/>
    </row>
    <row r="31" spans="1:18">
      <c r="A31" s="231" t="s">
        <v>55</v>
      </c>
      <c r="B31" s="33">
        <f>IF(ISERROR(TER_onderwijs_ele_kWh/1000),0,TER_onderwijs_ele_kWh/1000)</f>
        <v>1197.0822945999998</v>
      </c>
      <c r="C31" s="39">
        <f>IF(ISERROR(B31*3.6/1000000/'E Balans VL '!Z11*100),0,B31*3.6/1000000/'E Balans VL '!Z11*100)</f>
        <v>0.24173087697394288</v>
      </c>
      <c r="D31" s="237" t="s">
        <v>660</v>
      </c>
    </row>
    <row r="32" spans="1:18">
      <c r="A32" s="231" t="s">
        <v>260</v>
      </c>
      <c r="B32" s="33">
        <f>IF(ISERROR(TER_rest_ele_kWh/1000),0,TER_rest_ele_kWh/1000)</f>
        <v>4228.5006327000001</v>
      </c>
      <c r="C32" s="39">
        <f>IF(ISERROR(B32*3.6/1000000/'E Balans VL '!Z8*100),0,B32*3.6/1000000/'E Balans VL '!Z8*100)</f>
        <v>3.5060158389736258E-2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6</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78479.798321500013</v>
      </c>
      <c r="C5" s="17">
        <f>IF(ISERROR('Eigen informatie GS &amp; warmtenet'!B59),0,'Eigen informatie GS &amp; warmtenet'!B59)</f>
        <v>0</v>
      </c>
      <c r="D5" s="30">
        <f>SUM(D6:D15)</f>
        <v>86457.218110865579</v>
      </c>
      <c r="E5" s="17">
        <f>SUM(E6:E15)</f>
        <v>5788.1527464961291</v>
      </c>
      <c r="F5" s="17">
        <f>SUM(F6:F15)</f>
        <v>26328.924480602163</v>
      </c>
      <c r="G5" s="18"/>
      <c r="H5" s="17"/>
      <c r="I5" s="17"/>
      <c r="J5" s="17">
        <f>SUM(J6:J15)</f>
        <v>142.68351975976259</v>
      </c>
      <c r="K5" s="17"/>
      <c r="L5" s="17"/>
      <c r="M5" s="17"/>
      <c r="N5" s="17">
        <f>SUM(N6:N15)</f>
        <v>21506.430337572296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3279.2086773999999</v>
      </c>
      <c r="C8" s="33"/>
      <c r="D8" s="37">
        <f>IF( ISERROR(IND_metaal_Gas_kWH/1000),0,IND_metaal_Gas_kWH/1000)*0.902</f>
        <v>177.24309533237999</v>
      </c>
      <c r="E8" s="33">
        <f>C30*'E Balans VL '!I18/100/3.6*1000000</f>
        <v>117.99584849157705</v>
      </c>
      <c r="F8" s="33">
        <f>C30*'E Balans VL '!L18/100/3.6*1000000+C30*'E Balans VL '!N18/100/3.6*1000000</f>
        <v>1431.9241289121169</v>
      </c>
      <c r="G8" s="34"/>
      <c r="H8" s="33"/>
      <c r="I8" s="33"/>
      <c r="J8" s="40">
        <f>C30*'E Balans VL '!D18/100/3.6*1000000+C30*'E Balans VL '!E18/100/3.6*1000000</f>
        <v>0</v>
      </c>
      <c r="K8" s="33"/>
      <c r="L8" s="33"/>
      <c r="M8" s="33"/>
      <c r="N8" s="33">
        <f>C30*'E Balans VL '!Y18/100/3.6*1000000</f>
        <v>164.35171045286515</v>
      </c>
      <c r="O8" s="33"/>
      <c r="P8" s="33"/>
      <c r="R8" s="32"/>
    </row>
    <row r="9" spans="1:18">
      <c r="A9" s="6" t="s">
        <v>33</v>
      </c>
      <c r="B9" s="37">
        <f t="shared" si="0"/>
        <v>16884.679671000002</v>
      </c>
      <c r="C9" s="33"/>
      <c r="D9" s="37">
        <f>IF( ISERROR(IND_andere_gas_kWh/1000),0,IND_andere_gas_kWh/1000)*0.902</f>
        <v>2710.5944282823998</v>
      </c>
      <c r="E9" s="33">
        <f>C31*'E Balans VL '!I19/100/3.6*1000000</f>
        <v>4308.588225461478</v>
      </c>
      <c r="F9" s="33">
        <f>C31*'E Balans VL '!L19/100/3.6*1000000+C31*'E Balans VL '!N19/100/3.6*1000000</f>
        <v>14536.440094868489</v>
      </c>
      <c r="G9" s="34"/>
      <c r="H9" s="33"/>
      <c r="I9" s="33"/>
      <c r="J9" s="40">
        <f>C31*'E Balans VL '!D19/100/3.6*1000000+C31*'E Balans VL '!E19/100/3.6*1000000</f>
        <v>0</v>
      </c>
      <c r="K9" s="33"/>
      <c r="L9" s="33"/>
      <c r="M9" s="33"/>
      <c r="N9" s="33">
        <f>C31*'E Balans VL '!Y19/100/3.6*1000000</f>
        <v>5280.417573009765</v>
      </c>
      <c r="O9" s="33"/>
      <c r="P9" s="33"/>
      <c r="R9" s="32"/>
    </row>
    <row r="10" spans="1:18">
      <c r="A10" s="6" t="s">
        <v>41</v>
      </c>
      <c r="B10" s="37">
        <f t="shared" si="0"/>
        <v>33029.877863000002</v>
      </c>
      <c r="C10" s="33"/>
      <c r="D10" s="37">
        <f>IF( ISERROR(IND_voed_gas_kWh/1000),0,IND_voed_gas_kWh/1000)*0.902</f>
        <v>9616.8128334520006</v>
      </c>
      <c r="E10" s="33">
        <f>C32*'E Balans VL '!I20/100/3.6*1000000</f>
        <v>839.66484901642832</v>
      </c>
      <c r="F10" s="33">
        <f>C32*'E Balans VL '!L20/100/3.6*1000000+C32*'E Balans VL '!N20/100/3.6*1000000</f>
        <v>7474.1655391705272</v>
      </c>
      <c r="G10" s="34"/>
      <c r="H10" s="33"/>
      <c r="I10" s="33"/>
      <c r="J10" s="40">
        <f>C32*'E Balans VL '!D20/100/3.6*1000000+C32*'E Balans VL '!E20/100/3.6*1000000</f>
        <v>0</v>
      </c>
      <c r="K10" s="33"/>
      <c r="L10" s="33"/>
      <c r="M10" s="33"/>
      <c r="N10" s="33">
        <f>C32*'E Balans VL '!Y20/100/3.6*1000000</f>
        <v>12387.099508680298</v>
      </c>
      <c r="O10" s="33"/>
      <c r="P10" s="33"/>
      <c r="R10" s="32"/>
    </row>
    <row r="11" spans="1:18">
      <c r="A11" s="6" t="s">
        <v>40</v>
      </c>
      <c r="B11" s="37">
        <f t="shared" si="0"/>
        <v>13699.590333</v>
      </c>
      <c r="C11" s="33"/>
      <c r="D11" s="37">
        <f>IF( ISERROR(IND_textiel_gas_kWh/1000),0,IND_textiel_gas_kWh/1000)*0.902</f>
        <v>19211.762569670002</v>
      </c>
      <c r="E11" s="33">
        <f>C33*'E Balans VL '!I21/100/3.6*1000000</f>
        <v>37.609059596963732</v>
      </c>
      <c r="F11" s="33">
        <f>C33*'E Balans VL '!L21/100/3.6*1000000+C33*'E Balans VL '!N21/100/3.6*1000000</f>
        <v>726.29518590601333</v>
      </c>
      <c r="G11" s="34"/>
      <c r="H11" s="33"/>
      <c r="I11" s="33"/>
      <c r="J11" s="40">
        <f>C33*'E Balans VL '!D21/100/3.6*1000000+C33*'E Balans VL '!E21/100/3.6*1000000</f>
        <v>0</v>
      </c>
      <c r="K11" s="33"/>
      <c r="L11" s="33"/>
      <c r="M11" s="33"/>
      <c r="N11" s="33">
        <f>C33*'E Balans VL '!Y21/100/3.6*1000000</f>
        <v>27.533909525417045</v>
      </c>
      <c r="O11" s="33"/>
      <c r="P11" s="33"/>
      <c r="R11" s="32"/>
    </row>
    <row r="12" spans="1:18">
      <c r="A12" s="6" t="s">
        <v>37</v>
      </c>
      <c r="B12" s="37">
        <f t="shared" si="0"/>
        <v>2649.3308833999999</v>
      </c>
      <c r="C12" s="33"/>
      <c r="D12" s="37">
        <f>IF( ISERROR(IND_min_gas_kWh/1000),0,IND_min_gas_kWh/1000)*0.902</f>
        <v>104.76196086356001</v>
      </c>
      <c r="E12" s="33">
        <f>C34*'E Balans VL '!I22/100/3.6*1000000</f>
        <v>56.291641460335207</v>
      </c>
      <c r="F12" s="33">
        <f>C34*'E Balans VL '!L22/100/3.6*1000000+C34*'E Balans VL '!N22/100/3.6*1000000</f>
        <v>432.26091148576353</v>
      </c>
      <c r="G12" s="34"/>
      <c r="H12" s="33"/>
      <c r="I12" s="33"/>
      <c r="J12" s="40">
        <f>C34*'E Balans VL '!D22/100/3.6*1000000+C34*'E Balans VL '!E22/100/3.6*1000000</f>
        <v>3.086717716075364</v>
      </c>
      <c r="K12" s="33"/>
      <c r="L12" s="33"/>
      <c r="M12" s="33"/>
      <c r="N12" s="33">
        <f>C34*'E Balans VL '!Y22/100/3.6*1000000</f>
        <v>0</v>
      </c>
      <c r="O12" s="33"/>
      <c r="P12" s="33"/>
      <c r="R12" s="32"/>
    </row>
    <row r="13" spans="1:18">
      <c r="A13" s="6" t="s">
        <v>39</v>
      </c>
      <c r="B13" s="37">
        <f t="shared" si="0"/>
        <v>1141.1553145999999</v>
      </c>
      <c r="C13" s="33"/>
      <c r="D13" s="37">
        <f>IF( ISERROR(IND_papier_gas_kWh/1000),0,IND_papier_gas_kWh/1000)*0.902</f>
        <v>316.21338468324006</v>
      </c>
      <c r="E13" s="33">
        <f>C35*'E Balans VL '!I23/100/3.6*1000000</f>
        <v>4.8940831619445655</v>
      </c>
      <c r="F13" s="33">
        <f>C35*'E Balans VL '!L23/100/3.6*1000000+C35*'E Balans VL '!N23/100/3.6*1000000</f>
        <v>28.680774976515696</v>
      </c>
      <c r="G13" s="34"/>
      <c r="H13" s="33"/>
      <c r="I13" s="33"/>
      <c r="J13" s="40">
        <f>C35*'E Balans VL '!D23/100/3.6*1000000+C35*'E Balans VL '!E23/100/3.6*1000000</f>
        <v>76.394089333038536</v>
      </c>
      <c r="K13" s="33"/>
      <c r="L13" s="33"/>
      <c r="M13" s="33"/>
      <c r="N13" s="33">
        <f>C35*'E Balans VL '!Y23/100/3.6*1000000</f>
        <v>2077.1740496594903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7795.9555790999993</v>
      </c>
      <c r="C15" s="33"/>
      <c r="D15" s="37">
        <f>IF( ISERROR(IND_rest_gas_kWh/1000),0,IND_rest_gas_kWh/1000)*0.902</f>
        <v>54319.829838581994</v>
      </c>
      <c r="E15" s="33">
        <f>C37*'E Balans VL '!I15/100/3.6*1000000</f>
        <v>423.10903930740244</v>
      </c>
      <c r="F15" s="33">
        <f>C37*'E Balans VL '!L15/100/3.6*1000000+C37*'E Balans VL '!N15/100/3.6*1000000</f>
        <v>1699.15784528274</v>
      </c>
      <c r="G15" s="34"/>
      <c r="H15" s="33"/>
      <c r="I15" s="33"/>
      <c r="J15" s="40">
        <f>C37*'E Balans VL '!D15/100/3.6*1000000+C37*'E Balans VL '!E15/100/3.6*1000000</f>
        <v>63.202712710648669</v>
      </c>
      <c r="K15" s="33"/>
      <c r="L15" s="33"/>
      <c r="M15" s="33"/>
      <c r="N15" s="33">
        <f>C37*'E Balans VL '!Y15/100/3.6*1000000</f>
        <v>1569.8535862444598</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78479.798321500013</v>
      </c>
      <c r="C18" s="21">
        <f>C5+C16</f>
        <v>0</v>
      </c>
      <c r="D18" s="21">
        <f>MAX((D5+D16),0)</f>
        <v>86457.218110865579</v>
      </c>
      <c r="E18" s="21">
        <f>MAX((E5+E16),0)</f>
        <v>5788.1527464961291</v>
      </c>
      <c r="F18" s="21">
        <f>MAX((F5+F16),0)</f>
        <v>26328.924480602163</v>
      </c>
      <c r="G18" s="21"/>
      <c r="H18" s="21"/>
      <c r="I18" s="21"/>
      <c r="J18" s="21">
        <f>MAX((J5+J16),0)</f>
        <v>142.68351975976259</v>
      </c>
      <c r="K18" s="21"/>
      <c r="L18" s="21">
        <f>MAX((L5+L16),0)</f>
        <v>0</v>
      </c>
      <c r="M18" s="21"/>
      <c r="N18" s="21">
        <f>MAX((N5+N16),0)</f>
        <v>21506.430337572296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0.1832104185657665</v>
      </c>
      <c r="C20" s="25">
        <f ca="1">'EF ele_warmte'!B22</f>
        <v>0.14957960981260279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14378.316699438958</v>
      </c>
      <c r="C22" s="23">
        <f ca="1">C18*C20</f>
        <v>0</v>
      </c>
      <c r="D22" s="23">
        <f>D18*D20</f>
        <v>17464.35805839485</v>
      </c>
      <c r="E22" s="23">
        <f>E18*E20</f>
        <v>1313.9106734546212</v>
      </c>
      <c r="F22" s="23">
        <f>F18*F20</f>
        <v>7029.8228363207782</v>
      </c>
      <c r="G22" s="23"/>
      <c r="H22" s="23"/>
      <c r="I22" s="23"/>
      <c r="J22" s="23">
        <f>J18*J20</f>
        <v>50.509965994955955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3279.2086773999999</v>
      </c>
      <c r="C30" s="39">
        <f>IF(ISERROR(B30*3.6/1000000/'E Balans VL '!Z18*100),0,B30*3.6/1000000/'E Balans VL '!Z18*100)</f>
        <v>0.69479401435992671</v>
      </c>
      <c r="D30" s="237" t="s">
        <v>660</v>
      </c>
    </row>
    <row r="31" spans="1:18">
      <c r="A31" s="6" t="s">
        <v>33</v>
      </c>
      <c r="B31" s="37">
        <f>IF( ISERROR(IND_ander_ele_kWh/1000),0,IND_ander_ele_kWh/1000)</f>
        <v>16884.679671000002</v>
      </c>
      <c r="C31" s="39">
        <f>IF(ISERROR(B31*3.6/1000000/'E Balans VL '!Z19*100),0,B31*3.6/1000000/'E Balans VL '!Z19*100)</f>
        <v>0.71071450680585491</v>
      </c>
      <c r="D31" s="237" t="s">
        <v>660</v>
      </c>
    </row>
    <row r="32" spans="1:18">
      <c r="A32" s="171" t="s">
        <v>41</v>
      </c>
      <c r="B32" s="37">
        <f>IF( ISERROR(IND_voed_ele_kWh/1000),0,IND_voed_ele_kWh/1000)</f>
        <v>33029.877863000002</v>
      </c>
      <c r="C32" s="39">
        <f>IF(ISERROR(B32*3.6/1000000/'E Balans VL '!Z20*100),0,B32*3.6/1000000/'E Balans VL '!Z20*100)</f>
        <v>5.5180148043798214</v>
      </c>
      <c r="D32" s="237" t="s">
        <v>660</v>
      </c>
    </row>
    <row r="33" spans="1:5">
      <c r="A33" s="171" t="s">
        <v>40</v>
      </c>
      <c r="B33" s="37">
        <f>IF( ISERROR(IND_textiel_ele_kWh/1000),0,IND_textiel_ele_kWh/1000)</f>
        <v>13699.590333</v>
      </c>
      <c r="C33" s="39">
        <f>IF(ISERROR(B33*3.6/1000000/'E Balans VL '!Z21*100),0,B33*3.6/1000000/'E Balans VL '!Z21*100)</f>
        <v>0.79982307989591994</v>
      </c>
      <c r="D33" s="237" t="s">
        <v>660</v>
      </c>
    </row>
    <row r="34" spans="1:5">
      <c r="A34" s="171" t="s">
        <v>37</v>
      </c>
      <c r="B34" s="37">
        <f>IF( ISERROR(IND_min_ele_kWh/1000),0,IND_min_ele_kWh/1000)</f>
        <v>2649.3308833999999</v>
      </c>
      <c r="C34" s="39">
        <f>IF(ISERROR(B34*3.6/1000000/'E Balans VL '!Z22*100),0,B34*3.6/1000000/'E Balans VL '!Z22*100)</f>
        <v>0.33581697727020565</v>
      </c>
      <c r="D34" s="237" t="s">
        <v>660</v>
      </c>
    </row>
    <row r="35" spans="1:5">
      <c r="A35" s="171" t="s">
        <v>39</v>
      </c>
      <c r="B35" s="37">
        <f>IF( ISERROR(IND_papier_ele_kWh/1000),0,IND_papier_ele_kWh/1000)</f>
        <v>1141.1553145999999</v>
      </c>
      <c r="C35" s="39">
        <f>IF(ISERROR(B35*3.6/1000000/'E Balans VL '!Z22*100),0,B35*3.6/1000000/'E Balans VL '!Z22*100)</f>
        <v>0.14464759035798533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7795.9555790999993</v>
      </c>
      <c r="C37" s="39">
        <f>IF(ISERROR(B37*3.6/1000000/'E Balans VL '!Z15*100),0,B37*3.6/1000000/'E Balans VL '!Z15*100)</f>
        <v>6.2939768122434334E-2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3957.97791964</v>
      </c>
      <c r="C5" s="17">
        <f>'Eigen informatie GS &amp; warmtenet'!B60</f>
        <v>0</v>
      </c>
      <c r="D5" s="30">
        <f>IF(ISERROR(SUM(LB_lb_gas_kWh,LB_rest_gas_kWh,onbekend_gas_kWh)/1000),0,SUM(LB_lb_gas_kWh,LB_rest_gas_kWh,onbekend_gas_kWh)/1000)*0.902</f>
        <v>37015.118799169504</v>
      </c>
      <c r="E5" s="17">
        <f>B17*'E Balans VL '!I25/3.6*1000000/100</f>
        <v>102.06105366928756</v>
      </c>
      <c r="F5" s="17">
        <f>B17*('E Balans VL '!L25/3.6*1000000+'E Balans VL '!N25/3.6*1000000)/100</f>
        <v>14467.163056563477</v>
      </c>
      <c r="G5" s="18"/>
      <c r="H5" s="17"/>
      <c r="I5" s="17"/>
      <c r="J5" s="17">
        <f>('E Balans VL '!D25+'E Balans VL '!E25)/3.6*1000000*landbouw!B17/100</f>
        <v>569.80321965172334</v>
      </c>
      <c r="K5" s="17"/>
      <c r="L5" s="17">
        <f>L6*(-1)</f>
        <v>0</v>
      </c>
      <c r="M5" s="17"/>
      <c r="N5" s="17">
        <f>N6*(-1)</f>
        <v>72102.857142857145</v>
      </c>
      <c r="O5" s="17"/>
      <c r="P5" s="17"/>
      <c r="R5" s="32"/>
    </row>
    <row r="6" spans="1:18">
      <c r="A6" s="16" t="s">
        <v>491</v>
      </c>
      <c r="B6" s="17" t="s">
        <v>211</v>
      </c>
      <c r="C6" s="17">
        <f>'lokale energieproductie'!O91+'lokale energieproductie'!O60</f>
        <v>97283.57142857142</v>
      </c>
      <c r="D6" s="310">
        <f>('lokale energieproductie'!P60+'lokale energieproductie'!P91)*(-1)</f>
        <v>-122464.28571428571</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-72102.857142857145</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3957.97791964</v>
      </c>
      <c r="C8" s="21">
        <f>C5+C6</f>
        <v>97283.57142857142</v>
      </c>
      <c r="D8" s="21">
        <f>MAX((D5+D6),0)</f>
        <v>0</v>
      </c>
      <c r="E8" s="21">
        <f>MAX((E5+E6),0)</f>
        <v>102.06105366928756</v>
      </c>
      <c r="F8" s="21">
        <f>MAX((F5+F6),0)</f>
        <v>14467.163056563477</v>
      </c>
      <c r="G8" s="21"/>
      <c r="H8" s="21"/>
      <c r="I8" s="21"/>
      <c r="J8" s="21">
        <f>MAX((J5+J6),0)</f>
        <v>569.80321965172334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0.1832104185657665</v>
      </c>
      <c r="C10" s="31">
        <f ca="1">'EF ele_warmte'!B22</f>
        <v>0.14957960981260279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725.14279133130617</v>
      </c>
      <c r="C12" s="23">
        <f ca="1">C8*C10</f>
        <v>14551.638655462186</v>
      </c>
      <c r="D12" s="23">
        <f>D8*D10</f>
        <v>0</v>
      </c>
      <c r="E12" s="23">
        <f>E8*E10</f>
        <v>23.167859182928275</v>
      </c>
      <c r="F12" s="23">
        <f>F8*F10</f>
        <v>3862.7325361024486</v>
      </c>
      <c r="G12" s="23"/>
      <c r="H12" s="23"/>
      <c r="I12" s="23"/>
      <c r="J12" s="23">
        <f>J8*J10</f>
        <v>201.71033975671006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0.55810110372711796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879.99795872561515</v>
      </c>
      <c r="C26" s="247">
        <f>B26*'GWP N2O_CH4'!B5</f>
        <v>18479.957133237916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349.42380593154917</v>
      </c>
      <c r="C27" s="247">
        <f>B27*'GWP N2O_CH4'!B5</f>
        <v>7337.8999245625328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11.724680958530715</v>
      </c>
      <c r="C28" s="247">
        <f>B28*'GWP N2O_CH4'!B4</f>
        <v>3634.6510971445218</v>
      </c>
      <c r="D28" s="50"/>
    </row>
    <row r="29" spans="1:4">
      <c r="A29" s="41" t="s">
        <v>277</v>
      </c>
      <c r="B29" s="247">
        <f>B34*'ha_N2O bodem landbouw'!B4</f>
        <v>30.64990459971386</v>
      </c>
      <c r="C29" s="247">
        <f>B29*'GWP N2O_CH4'!B4</f>
        <v>9501.4704259112968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6.8978940992018237E-3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1.3393367957589575E-4</v>
      </c>
      <c r="C5" s="463" t="s">
        <v>211</v>
      </c>
      <c r="D5" s="448">
        <f>SUM(D6:D11)</f>
        <v>3.0857786318013792E-4</v>
      </c>
      <c r="E5" s="448">
        <f>SUM(E6:E11)</f>
        <v>1.1855097069666031E-3</v>
      </c>
      <c r="F5" s="461" t="s">
        <v>211</v>
      </c>
      <c r="G5" s="448">
        <f>SUM(G6:G11)</f>
        <v>0.43299104320420828</v>
      </c>
      <c r="H5" s="448">
        <f>SUM(H6:H11)</f>
        <v>8.2790306827081231E-2</v>
      </c>
      <c r="I5" s="463" t="s">
        <v>211</v>
      </c>
      <c r="J5" s="463" t="s">
        <v>211</v>
      </c>
      <c r="K5" s="463" t="s">
        <v>211</v>
      </c>
      <c r="L5" s="463" t="s">
        <v>211</v>
      </c>
      <c r="M5" s="448">
        <f>SUM(M6:M11)</f>
        <v>1.6121838332331606E-2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1.0621197399382275E-4</v>
      </c>
      <c r="C6" s="449"/>
      <c r="D6" s="962">
        <f>vkm_2011_GW_PW*SUMIFS(TableVerdeelsleutelVkm[CNG],TableVerdeelsleutelVkm[Voertuigtype],"Lichte voertuigen")*SUMIFS(TableECFTransport[EnergieConsumptieFactor (PJ per km)],TableECFTransport[Index],CONCATENATE($A6,"_CNG_CNG"))</f>
        <v>2.1104505279142844E-4</v>
      </c>
      <c r="E6" s="962">
        <f>vkm_2011_GW_PW*SUMIFS(TableVerdeelsleutelVkm[LPG],TableVerdeelsleutelVkm[Voertuigtype],"Lichte voertuigen")*SUMIFS(TableECFTransport[EnergieConsumptieFactor (PJ per km)],TableECFTransport[Index],CONCATENATE($A6,"_LPG_LPG"))</f>
        <v>8.3053793671433642E-4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0.19747342393232772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5.713624494068658E-2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7.933872392088934E-3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0.1366801407493155</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4.4153523550284522E-5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4.3065821039988943E-3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2.7721705582073004E-5</v>
      </c>
      <c r="C8" s="449"/>
      <c r="D8" s="451">
        <f>vkm_2011_NGW_PW*SUMIFS(TableVerdeelsleutelVkm[CNG],TableVerdeelsleutelVkm[Voertuigtype],"Lichte voertuigen")*SUMIFS(TableECFTransport[EnergieConsumptieFactor (PJ per km)],TableECFTransport[Index],CONCATENATE($A8,"_CNG_CNG"))</f>
        <v>9.7532810388709467E-5</v>
      </c>
      <c r="E8" s="451">
        <f>vkm_2011_NGW_PW*SUMIFS(TableVerdeelsleutelVkm[LPG],TableVerdeelsleutelVkm[Voertuigtype],"Lichte voertuigen")*SUMIFS(TableECFTransport[EnergieConsumptieFactor (PJ per km)],TableECFTransport[Index],CONCATENATE($A8,"_LPG_LPG"))</f>
        <v>3.5497177025226669E-4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7.8813711615764073E-2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2.5603790932270703E-2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3.2504761095611913E-3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2.0023766906800956E-2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6.1174305736568401E-6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6.3090772668258574E-4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37.203799882193266</v>
      </c>
      <c r="C14" s="21"/>
      <c r="D14" s="21">
        <f t="shared" ref="D14:M14" si="0">((D5)*10^9/3600)+D12</f>
        <v>85.716073105593878</v>
      </c>
      <c r="E14" s="21">
        <f t="shared" si="0"/>
        <v>329.3082519351675</v>
      </c>
      <c r="F14" s="21"/>
      <c r="G14" s="21">
        <f t="shared" si="0"/>
        <v>120275.28977894674</v>
      </c>
      <c r="H14" s="21">
        <f t="shared" si="0"/>
        <v>22997.307451967008</v>
      </c>
      <c r="I14" s="21"/>
      <c r="J14" s="21"/>
      <c r="K14" s="21"/>
      <c r="L14" s="21"/>
      <c r="M14" s="21">
        <f t="shared" si="0"/>
        <v>4478.2884256476682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0.1832104185657665</v>
      </c>
      <c r="C16" s="56">
        <f ca="1">'EF ele_warmte'!B22</f>
        <v>0.14957960981260279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6.8161237486536423</v>
      </c>
      <c r="C18" s="23"/>
      <c r="D18" s="23">
        <f t="shared" ref="D18:M18" si="1">D14*D16</f>
        <v>17.314646767329965</v>
      </c>
      <c r="E18" s="23">
        <f t="shared" si="1"/>
        <v>74.752973189283026</v>
      </c>
      <c r="F18" s="23"/>
      <c r="G18" s="23">
        <f t="shared" si="1"/>
        <v>32113.502370978782</v>
      </c>
      <c r="H18" s="23">
        <f t="shared" si="1"/>
        <v>5726.3295555397854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7.4713107870016567E-3</v>
      </c>
      <c r="H50" s="321">
        <f t="shared" si="2"/>
        <v>0</v>
      </c>
      <c r="I50" s="321">
        <f t="shared" si="2"/>
        <v>0</v>
      </c>
      <c r="J50" s="321">
        <f t="shared" si="2"/>
        <v>0</v>
      </c>
      <c r="K50" s="321">
        <f t="shared" si="2"/>
        <v>0</v>
      </c>
      <c r="L50" s="321">
        <f t="shared" si="2"/>
        <v>0</v>
      </c>
      <c r="M50" s="321">
        <f t="shared" si="2"/>
        <v>2.3174334593012384E-4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7.4713107870016567E-3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2.3174334593012384E-4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2075.3641075004602</v>
      </c>
      <c r="H54" s="21">
        <f t="shared" si="3"/>
        <v>0</v>
      </c>
      <c r="I54" s="21">
        <f t="shared" si="3"/>
        <v>0</v>
      </c>
      <c r="J54" s="21">
        <f t="shared" si="3"/>
        <v>0</v>
      </c>
      <c r="K54" s="21">
        <f t="shared" si="3"/>
        <v>0</v>
      </c>
      <c r="L54" s="21">
        <f t="shared" si="3"/>
        <v>0</v>
      </c>
      <c r="M54" s="21">
        <f t="shared" si="3"/>
        <v>64.37315164725662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0.1832104185657665</v>
      </c>
      <c r="C56" s="56">
        <f ca="1">'EF ele_warmte'!B22</f>
        <v>0.14957960981260279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554.12221670262295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10402.856938733819</v>
      </c>
      <c r="C6" s="1203"/>
      <c r="D6" s="1188"/>
      <c r="E6" s="1188"/>
      <c r="F6" s="1206"/>
      <c r="G6" s="1209"/>
      <c r="H6" s="1200"/>
      <c r="I6" s="1188"/>
      <c r="J6" s="1188"/>
      <c r="K6" s="1188"/>
      <c r="L6" s="1192"/>
      <c r="M6" s="575"/>
      <c r="N6" s="1166"/>
      <c r="O6" s="1167"/>
      <c r="Q6" s="573"/>
      <c r="R6" s="1154"/>
      <c r="S6" s="1154"/>
    </row>
    <row r="7" spans="1:19" s="563" customFormat="1">
      <c r="A7" s="576" t="s">
        <v>252</v>
      </c>
      <c r="B7" s="577">
        <f>N57</f>
        <v>68098.5</v>
      </c>
      <c r="C7" s="578">
        <f>B100</f>
        <v>50426.470588235294</v>
      </c>
      <c r="D7" s="579"/>
      <c r="E7" s="579">
        <f>E100</f>
        <v>0</v>
      </c>
      <c r="F7" s="580"/>
      <c r="G7" s="581"/>
      <c r="H7" s="579">
        <f>I100</f>
        <v>0</v>
      </c>
      <c r="I7" s="579">
        <f>G100+F100</f>
        <v>0</v>
      </c>
      <c r="J7" s="579">
        <f>H100+D100+C100</f>
        <v>29689.411764705885</v>
      </c>
      <c r="K7" s="579"/>
      <c r="L7" s="582"/>
      <c r="M7" s="583">
        <f>C7*$C$11+D7*$D$11+E7*$E$11+F7*$F$11+G7*$G$11+H7*$H$11+I7*$I$11+J7*$J$11</f>
        <v>10186.14705882353</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78501.356938733821</v>
      </c>
      <c r="C9" s="594">
        <f t="shared" ref="C9:L9" si="0">SUM(C7:C8)</f>
        <v>50426.470588235294</v>
      </c>
      <c r="D9" s="594">
        <f t="shared" si="0"/>
        <v>0</v>
      </c>
      <c r="E9" s="594">
        <f t="shared" si="0"/>
        <v>0</v>
      </c>
      <c r="F9" s="594">
        <f t="shared" si="0"/>
        <v>0</v>
      </c>
      <c r="G9" s="594">
        <f t="shared" si="0"/>
        <v>0</v>
      </c>
      <c r="H9" s="594">
        <f t="shared" si="0"/>
        <v>0</v>
      </c>
      <c r="I9" s="594">
        <f t="shared" si="0"/>
        <v>0</v>
      </c>
      <c r="J9" s="594">
        <f t="shared" si="0"/>
        <v>29689.411764705885</v>
      </c>
      <c r="K9" s="594">
        <f t="shared" si="0"/>
        <v>0</v>
      </c>
      <c r="L9" s="594">
        <f t="shared" si="0"/>
        <v>0</v>
      </c>
      <c r="M9" s="595">
        <f>SUM(M4:M8)</f>
        <v>10186.14705882353</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97283.57142857142</v>
      </c>
      <c r="C16" s="610">
        <f>B101</f>
        <v>72037.815126050424</v>
      </c>
      <c r="D16" s="611"/>
      <c r="E16" s="611">
        <f>E101</f>
        <v>0</v>
      </c>
      <c r="F16" s="612"/>
      <c r="G16" s="613"/>
      <c r="H16" s="610">
        <f>I101</f>
        <v>0</v>
      </c>
      <c r="I16" s="611">
        <f>G101+F101</f>
        <v>0</v>
      </c>
      <c r="J16" s="611">
        <f>H101+D101+C101</f>
        <v>42413.445378151264</v>
      </c>
      <c r="K16" s="611"/>
      <c r="L16" s="614"/>
      <c r="M16" s="615">
        <f>C16*$C$21+E16*$E$21+H16*$H$21+I16*$I$21+J16*$J$21+D16*$D$21+F16*$F$21+G16*$G$21+K16*$K$21+L16*$L$21</f>
        <v>14551.638655462186</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97283.57142857142</v>
      </c>
      <c r="C19" s="593">
        <f>SUM(C16:C18)</f>
        <v>72037.815126050424</v>
      </c>
      <c r="D19" s="593">
        <f t="shared" ref="D19:M19" si="1">SUM(D16:D18)</f>
        <v>0</v>
      </c>
      <c r="E19" s="593">
        <f t="shared" si="1"/>
        <v>0</v>
      </c>
      <c r="F19" s="593">
        <f t="shared" si="1"/>
        <v>0</v>
      </c>
      <c r="G19" s="593">
        <f t="shared" si="1"/>
        <v>0</v>
      </c>
      <c r="H19" s="593">
        <f t="shared" si="1"/>
        <v>0</v>
      </c>
      <c r="I19" s="593">
        <f t="shared" si="1"/>
        <v>0</v>
      </c>
      <c r="J19" s="593">
        <f t="shared" si="1"/>
        <v>42413.445378151264</v>
      </c>
      <c r="K19" s="593">
        <f t="shared" si="1"/>
        <v>0</v>
      </c>
      <c r="L19" s="593">
        <f t="shared" si="1"/>
        <v>0</v>
      </c>
      <c r="M19" s="620">
        <f t="shared" si="1"/>
        <v>14551.638655462186</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44011</v>
      </c>
      <c r="C27" s="851">
        <v>9800</v>
      </c>
      <c r="D27" s="672" t="s">
        <v>818</v>
      </c>
      <c r="E27" s="671" t="s">
        <v>819</v>
      </c>
      <c r="F27" s="671" t="s">
        <v>820</v>
      </c>
      <c r="G27" s="671" t="s">
        <v>821</v>
      </c>
      <c r="H27" s="671" t="s">
        <v>822</v>
      </c>
      <c r="I27" s="671" t="s">
        <v>819</v>
      </c>
      <c r="J27" s="850">
        <v>39860</v>
      </c>
      <c r="K27" s="850">
        <v>39875</v>
      </c>
      <c r="L27" s="671" t="s">
        <v>823</v>
      </c>
      <c r="M27" s="671">
        <v>2000</v>
      </c>
      <c r="N27" s="671">
        <v>9000</v>
      </c>
      <c r="O27" s="671">
        <v>12857.142857142857</v>
      </c>
      <c r="P27" s="671">
        <v>25714.285714285717</v>
      </c>
      <c r="Q27" s="671">
        <v>0</v>
      </c>
      <c r="R27" s="671">
        <v>0</v>
      </c>
      <c r="S27" s="671">
        <v>0</v>
      </c>
      <c r="T27" s="671">
        <v>0</v>
      </c>
      <c r="U27" s="671">
        <v>0</v>
      </c>
      <c r="V27" s="671">
        <v>0</v>
      </c>
      <c r="W27" s="671">
        <v>0</v>
      </c>
      <c r="X27" s="671">
        <v>10</v>
      </c>
      <c r="Y27" s="671" t="s">
        <v>112</v>
      </c>
      <c r="Z27" s="673" t="s">
        <v>112</v>
      </c>
    </row>
    <row r="28" spans="1:26" s="625" customFormat="1" ht="38.25">
      <c r="A28" s="624"/>
      <c r="B28" s="851">
        <v>44011</v>
      </c>
      <c r="C28" s="851">
        <v>9800</v>
      </c>
      <c r="D28" s="672" t="s">
        <v>824</v>
      </c>
      <c r="E28" s="671" t="s">
        <v>825</v>
      </c>
      <c r="F28" s="671" t="s">
        <v>826</v>
      </c>
      <c r="G28" s="671" t="s">
        <v>827</v>
      </c>
      <c r="H28" s="671" t="s">
        <v>822</v>
      </c>
      <c r="I28" s="671" t="s">
        <v>825</v>
      </c>
      <c r="J28" s="850">
        <v>40718</v>
      </c>
      <c r="K28" s="850">
        <v>40718</v>
      </c>
      <c r="L28" s="671" t="s">
        <v>823</v>
      </c>
      <c r="M28" s="671">
        <v>5608</v>
      </c>
      <c r="N28" s="671">
        <v>25236</v>
      </c>
      <c r="O28" s="671">
        <v>36051.428571428572</v>
      </c>
      <c r="P28" s="671">
        <v>0</v>
      </c>
      <c r="Q28" s="671">
        <v>0</v>
      </c>
      <c r="R28" s="671">
        <v>0</v>
      </c>
      <c r="S28" s="671">
        <v>0</v>
      </c>
      <c r="T28" s="671">
        <v>0</v>
      </c>
      <c r="U28" s="671">
        <v>0</v>
      </c>
      <c r="V28" s="671">
        <v>72102.857142857145</v>
      </c>
      <c r="W28" s="671">
        <v>0</v>
      </c>
      <c r="X28" s="671">
        <v>10</v>
      </c>
      <c r="Y28" s="671" t="s">
        <v>112</v>
      </c>
      <c r="Z28" s="673" t="s">
        <v>112</v>
      </c>
    </row>
    <row r="29" spans="1:26" s="625" customFormat="1" ht="38.25">
      <c r="A29" s="624"/>
      <c r="B29" s="851">
        <v>44011</v>
      </c>
      <c r="C29" s="851">
        <v>9800</v>
      </c>
      <c r="D29" s="672" t="s">
        <v>828</v>
      </c>
      <c r="E29" s="671" t="s">
        <v>829</v>
      </c>
      <c r="F29" s="671" t="s">
        <v>830</v>
      </c>
      <c r="G29" s="671" t="s">
        <v>821</v>
      </c>
      <c r="H29" s="671" t="s">
        <v>822</v>
      </c>
      <c r="I29" s="671" t="s">
        <v>831</v>
      </c>
      <c r="J29" s="850">
        <v>41320</v>
      </c>
      <c r="K29" s="850">
        <v>41320</v>
      </c>
      <c r="L29" s="671" t="s">
        <v>823</v>
      </c>
      <c r="M29" s="671">
        <v>7525</v>
      </c>
      <c r="N29" s="671">
        <v>33862.5</v>
      </c>
      <c r="O29" s="671">
        <v>48375</v>
      </c>
      <c r="P29" s="671">
        <v>96750</v>
      </c>
      <c r="Q29" s="671">
        <v>0</v>
      </c>
      <c r="R29" s="671">
        <v>0</v>
      </c>
      <c r="S29" s="671">
        <v>0</v>
      </c>
      <c r="T29" s="671">
        <v>0</v>
      </c>
      <c r="U29" s="671">
        <v>0</v>
      </c>
      <c r="V29" s="671">
        <v>0</v>
      </c>
      <c r="W29" s="671">
        <v>0</v>
      </c>
      <c r="X29" s="671">
        <v>10</v>
      </c>
      <c r="Y29" s="671" t="s">
        <v>112</v>
      </c>
      <c r="Z29" s="673" t="s">
        <v>112</v>
      </c>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15133</v>
      </c>
      <c r="N57" s="629">
        <f>SUM(N27:N56)</f>
        <v>68098.5</v>
      </c>
      <c r="O57" s="629">
        <f t="shared" ref="O57:W57" si="2">SUM(O27:O56)</f>
        <v>97283.57142857142</v>
      </c>
      <c r="P57" s="629">
        <f t="shared" si="2"/>
        <v>122464.28571428571</v>
      </c>
      <c r="Q57" s="629">
        <f t="shared" si="2"/>
        <v>0</v>
      </c>
      <c r="R57" s="629">
        <f t="shared" si="2"/>
        <v>0</v>
      </c>
      <c r="S57" s="629">
        <f t="shared" si="2"/>
        <v>0</v>
      </c>
      <c r="T57" s="629">
        <f t="shared" si="2"/>
        <v>0</v>
      </c>
      <c r="U57" s="629">
        <f t="shared" si="2"/>
        <v>0</v>
      </c>
      <c r="V57" s="629">
        <f t="shared" si="2"/>
        <v>72102.857142857145</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15133</v>
      </c>
      <c r="N60" s="634">
        <f t="shared" ref="N60:W60" si="4">SUMIF($Z$27:$Z$56,"landbouw",N27:N56)</f>
        <v>68098.5</v>
      </c>
      <c r="O60" s="634">
        <f t="shared" si="4"/>
        <v>97283.57142857142</v>
      </c>
      <c r="P60" s="634">
        <f t="shared" si="4"/>
        <v>122464.28571428571</v>
      </c>
      <c r="Q60" s="634">
        <f t="shared" si="4"/>
        <v>0</v>
      </c>
      <c r="R60" s="634">
        <f t="shared" si="4"/>
        <v>0</v>
      </c>
      <c r="S60" s="634">
        <f t="shared" si="4"/>
        <v>0</v>
      </c>
      <c r="T60" s="634">
        <f t="shared" si="4"/>
        <v>0</v>
      </c>
      <c r="U60" s="634">
        <f t="shared" si="4"/>
        <v>0</v>
      </c>
      <c r="V60" s="634">
        <f t="shared" si="4"/>
        <v>72102.857142857145</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50426.470588235294</v>
      </c>
      <c r="C100" s="663">
        <f t="shared" si="9"/>
        <v>0</v>
      </c>
      <c r="D100" s="663">
        <f t="shared" si="9"/>
        <v>0</v>
      </c>
      <c r="E100" s="663">
        <f t="shared" si="9"/>
        <v>0</v>
      </c>
      <c r="F100" s="663">
        <f t="shared" si="9"/>
        <v>0</v>
      </c>
      <c r="G100" s="663">
        <f t="shared" si="9"/>
        <v>0</v>
      </c>
      <c r="H100" s="663">
        <f t="shared" si="9"/>
        <v>29689.411764705885</v>
      </c>
      <c r="I100" s="664">
        <f t="shared" si="9"/>
        <v>0</v>
      </c>
      <c r="J100" s="621"/>
      <c r="K100" s="621"/>
      <c r="L100" s="659"/>
      <c r="M100" s="646"/>
      <c r="N100" s="646"/>
    </row>
    <row r="101" spans="1:14" ht="15.75" thickBot="1">
      <c r="A101" s="665" t="s">
        <v>286</v>
      </c>
      <c r="B101" s="666">
        <f>$B$97*P57</f>
        <v>72037.815126050424</v>
      </c>
      <c r="C101" s="666">
        <f t="shared" ref="C101:H101" si="10">$B$97*Q57</f>
        <v>0</v>
      </c>
      <c r="D101" s="666">
        <f t="shared" si="10"/>
        <v>0</v>
      </c>
      <c r="E101" s="666">
        <f t="shared" si="10"/>
        <v>0</v>
      </c>
      <c r="F101" s="666">
        <f t="shared" si="10"/>
        <v>0</v>
      </c>
      <c r="G101" s="666">
        <f t="shared" si="10"/>
        <v>0</v>
      </c>
      <c r="H101" s="666">
        <f t="shared" si="10"/>
        <v>42413.445378151264</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50282.622940499998</v>
      </c>
      <c r="D10" s="718">
        <f ca="1">tertiair!C16</f>
        <v>0</v>
      </c>
      <c r="E10" s="718">
        <f ca="1">tertiair!D16</f>
        <v>53933.747342963405</v>
      </c>
      <c r="F10" s="718">
        <f>tertiair!E16</f>
        <v>948.06150904602453</v>
      </c>
      <c r="G10" s="718">
        <f ca="1">tertiair!F16</f>
        <v>11443.657903186166</v>
      </c>
      <c r="H10" s="718">
        <f>tertiair!G16</f>
        <v>0</v>
      </c>
      <c r="I10" s="718">
        <f>tertiair!H16</f>
        <v>0</v>
      </c>
      <c r="J10" s="718">
        <f>tertiair!I16</f>
        <v>0</v>
      </c>
      <c r="K10" s="718">
        <f>tertiair!J16</f>
        <v>0</v>
      </c>
      <c r="L10" s="718">
        <f>tertiair!K16</f>
        <v>0</v>
      </c>
      <c r="M10" s="718">
        <f ca="1">tertiair!L16</f>
        <v>0</v>
      </c>
      <c r="N10" s="718">
        <f>tertiair!M16</f>
        <v>0</v>
      </c>
      <c r="O10" s="718">
        <f ca="1">tertiair!N16</f>
        <v>3844.1509747296527</v>
      </c>
      <c r="P10" s="718">
        <f>tertiair!O16</f>
        <v>0</v>
      </c>
      <c r="Q10" s="719">
        <f>tertiair!P16</f>
        <v>114.4</v>
      </c>
      <c r="R10" s="721">
        <f ca="1">SUM(C10:Q10)</f>
        <v>120566.64067042523</v>
      </c>
      <c r="S10" s="67"/>
    </row>
    <row r="11" spans="1:19" s="474" customFormat="1">
      <c r="A11" s="870" t="s">
        <v>225</v>
      </c>
      <c r="B11" s="875"/>
      <c r="C11" s="718">
        <f>huishoudens!B8</f>
        <v>56782.80876138257</v>
      </c>
      <c r="D11" s="718">
        <f>huishoudens!C8</f>
        <v>0</v>
      </c>
      <c r="E11" s="718">
        <f>huishoudens!D8</f>
        <v>92264.589991860004</v>
      </c>
      <c r="F11" s="718">
        <f>huishoudens!E8</f>
        <v>12791.853226051158</v>
      </c>
      <c r="G11" s="718">
        <f>huishoudens!F8</f>
        <v>34899.346387995996</v>
      </c>
      <c r="H11" s="718">
        <f>huishoudens!G8</f>
        <v>0</v>
      </c>
      <c r="I11" s="718">
        <f>huishoudens!H8</f>
        <v>0</v>
      </c>
      <c r="J11" s="718">
        <f>huishoudens!I8</f>
        <v>0</v>
      </c>
      <c r="K11" s="718">
        <f>huishoudens!J8</f>
        <v>0</v>
      </c>
      <c r="L11" s="718">
        <f>huishoudens!K8</f>
        <v>0</v>
      </c>
      <c r="M11" s="718">
        <f>huishoudens!L8</f>
        <v>0</v>
      </c>
      <c r="N11" s="718">
        <f>huishoudens!M8</f>
        <v>0</v>
      </c>
      <c r="O11" s="718">
        <f>huishoudens!N8</f>
        <v>25225.154991538577</v>
      </c>
      <c r="P11" s="718">
        <f>huishoudens!O8</f>
        <v>579.99666666666667</v>
      </c>
      <c r="Q11" s="719">
        <f>huishoudens!P8</f>
        <v>1258.4000000000001</v>
      </c>
      <c r="R11" s="721">
        <f>SUM(C11:Q11)</f>
        <v>223802.15002549498</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78479.798321500013</v>
      </c>
      <c r="D13" s="718">
        <f>industrie!C18</f>
        <v>0</v>
      </c>
      <c r="E13" s="718">
        <f>industrie!D18</f>
        <v>86457.218110865579</v>
      </c>
      <c r="F13" s="718">
        <f>industrie!E18</f>
        <v>5788.1527464961291</v>
      </c>
      <c r="G13" s="718">
        <f>industrie!F18</f>
        <v>26328.924480602163</v>
      </c>
      <c r="H13" s="718">
        <f>industrie!G18</f>
        <v>0</v>
      </c>
      <c r="I13" s="718">
        <f>industrie!H18</f>
        <v>0</v>
      </c>
      <c r="J13" s="718">
        <f>industrie!I18</f>
        <v>0</v>
      </c>
      <c r="K13" s="718">
        <f>industrie!J18</f>
        <v>142.68351975976259</v>
      </c>
      <c r="L13" s="718">
        <f>industrie!K18</f>
        <v>0</v>
      </c>
      <c r="M13" s="718">
        <f>industrie!L18</f>
        <v>0</v>
      </c>
      <c r="N13" s="718">
        <f>industrie!M18</f>
        <v>0</v>
      </c>
      <c r="O13" s="718">
        <f>industrie!N18</f>
        <v>21506.430337572296</v>
      </c>
      <c r="P13" s="718">
        <f>industrie!O18</f>
        <v>0</v>
      </c>
      <c r="Q13" s="719">
        <f>industrie!P18</f>
        <v>0</v>
      </c>
      <c r="R13" s="721">
        <f>SUM(C13:Q13)</f>
        <v>218703.20751679596</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185545.23002338258</v>
      </c>
      <c r="D15" s="723">
        <f t="shared" ref="D15:Q15" ca="1" si="0">SUM(D9:D14)</f>
        <v>0</v>
      </c>
      <c r="E15" s="723">
        <f t="shared" ca="1" si="0"/>
        <v>232655.55544568901</v>
      </c>
      <c r="F15" s="723">
        <f t="shared" si="0"/>
        <v>19528.067481593313</v>
      </c>
      <c r="G15" s="723">
        <f t="shared" ca="1" si="0"/>
        <v>72671.928771784325</v>
      </c>
      <c r="H15" s="723">
        <f t="shared" si="0"/>
        <v>0</v>
      </c>
      <c r="I15" s="723">
        <f t="shared" si="0"/>
        <v>0</v>
      </c>
      <c r="J15" s="723">
        <f t="shared" si="0"/>
        <v>0</v>
      </c>
      <c r="K15" s="723">
        <f t="shared" si="0"/>
        <v>142.68351975976259</v>
      </c>
      <c r="L15" s="723">
        <f t="shared" si="0"/>
        <v>0</v>
      </c>
      <c r="M15" s="723">
        <f t="shared" ca="1" si="0"/>
        <v>0</v>
      </c>
      <c r="N15" s="723">
        <f t="shared" si="0"/>
        <v>0</v>
      </c>
      <c r="O15" s="723">
        <f t="shared" ca="1" si="0"/>
        <v>50575.736303840524</v>
      </c>
      <c r="P15" s="723">
        <f t="shared" si="0"/>
        <v>579.99666666666667</v>
      </c>
      <c r="Q15" s="724">
        <f t="shared" si="0"/>
        <v>1372.8000000000002</v>
      </c>
      <c r="R15" s="725">
        <f ca="1">SUM(R9:R14)</f>
        <v>563071.99821271619</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2075.3641075004602</v>
      </c>
      <c r="I18" s="718">
        <f>transport!H54</f>
        <v>0</v>
      </c>
      <c r="J18" s="718">
        <f>transport!I54</f>
        <v>0</v>
      </c>
      <c r="K18" s="718">
        <f>transport!J54</f>
        <v>0</v>
      </c>
      <c r="L18" s="718">
        <f>transport!K54</f>
        <v>0</v>
      </c>
      <c r="M18" s="718">
        <f>transport!L54</f>
        <v>0</v>
      </c>
      <c r="N18" s="718">
        <f>transport!M54</f>
        <v>64.37315164725662</v>
      </c>
      <c r="O18" s="718">
        <f>transport!N54</f>
        <v>0</v>
      </c>
      <c r="P18" s="718">
        <f>transport!O54</f>
        <v>0</v>
      </c>
      <c r="Q18" s="719">
        <f>transport!P54</f>
        <v>0</v>
      </c>
      <c r="R18" s="721">
        <f>SUM(C18:Q18)</f>
        <v>2139.7372591477169</v>
      </c>
      <c r="S18" s="67"/>
    </row>
    <row r="19" spans="1:19" s="474" customFormat="1" ht="15" thickBot="1">
      <c r="A19" s="870" t="s">
        <v>307</v>
      </c>
      <c r="B19" s="875"/>
      <c r="C19" s="727">
        <f>transport!B14</f>
        <v>37.203799882193266</v>
      </c>
      <c r="D19" s="727">
        <f>transport!C14</f>
        <v>0</v>
      </c>
      <c r="E19" s="727">
        <f>transport!D14</f>
        <v>85.716073105593878</v>
      </c>
      <c r="F19" s="727">
        <f>transport!E14</f>
        <v>329.3082519351675</v>
      </c>
      <c r="G19" s="727">
        <f>transport!F14</f>
        <v>0</v>
      </c>
      <c r="H19" s="727">
        <f>transport!G14</f>
        <v>120275.28977894674</v>
      </c>
      <c r="I19" s="727">
        <f>transport!H14</f>
        <v>22997.307451967008</v>
      </c>
      <c r="J19" s="727">
        <f>transport!I14</f>
        <v>0</v>
      </c>
      <c r="K19" s="727">
        <f>transport!J14</f>
        <v>0</v>
      </c>
      <c r="L19" s="727">
        <f>transport!K14</f>
        <v>0</v>
      </c>
      <c r="M19" s="727">
        <f>transport!L14</f>
        <v>0</v>
      </c>
      <c r="N19" s="727">
        <f>transport!M14</f>
        <v>4478.2884256476682</v>
      </c>
      <c r="O19" s="727">
        <f>transport!N14</f>
        <v>0</v>
      </c>
      <c r="P19" s="727">
        <f>transport!O14</f>
        <v>0</v>
      </c>
      <c r="Q19" s="728">
        <f>transport!P14</f>
        <v>0</v>
      </c>
      <c r="R19" s="729">
        <f>SUM(C19:Q19)</f>
        <v>148203.11378148437</v>
      </c>
      <c r="S19" s="67"/>
    </row>
    <row r="20" spans="1:19" s="474" customFormat="1" ht="15.75" thickBot="1">
      <c r="A20" s="730" t="s">
        <v>230</v>
      </c>
      <c r="B20" s="878"/>
      <c r="C20" s="873">
        <f>SUM(C17:C19)</f>
        <v>37.203799882193266</v>
      </c>
      <c r="D20" s="731">
        <f t="shared" ref="D20:R20" si="1">SUM(D17:D19)</f>
        <v>0</v>
      </c>
      <c r="E20" s="731">
        <f t="shared" si="1"/>
        <v>85.716073105593878</v>
      </c>
      <c r="F20" s="731">
        <f t="shared" si="1"/>
        <v>329.3082519351675</v>
      </c>
      <c r="G20" s="731">
        <f t="shared" si="1"/>
        <v>0</v>
      </c>
      <c r="H20" s="731">
        <f t="shared" si="1"/>
        <v>122350.65388644719</v>
      </c>
      <c r="I20" s="731">
        <f t="shared" si="1"/>
        <v>22997.307451967008</v>
      </c>
      <c r="J20" s="731">
        <f t="shared" si="1"/>
        <v>0</v>
      </c>
      <c r="K20" s="731">
        <f t="shared" si="1"/>
        <v>0</v>
      </c>
      <c r="L20" s="731">
        <f t="shared" si="1"/>
        <v>0</v>
      </c>
      <c r="M20" s="731">
        <f t="shared" si="1"/>
        <v>0</v>
      </c>
      <c r="N20" s="731">
        <f t="shared" si="1"/>
        <v>4542.6615772949244</v>
      </c>
      <c r="O20" s="731">
        <f t="shared" si="1"/>
        <v>0</v>
      </c>
      <c r="P20" s="731">
        <f t="shared" si="1"/>
        <v>0</v>
      </c>
      <c r="Q20" s="732">
        <f t="shared" si="1"/>
        <v>0</v>
      </c>
      <c r="R20" s="733">
        <f t="shared" si="1"/>
        <v>150342.85104063209</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3957.97791964</v>
      </c>
      <c r="D22" s="727">
        <f>+landbouw!C8</f>
        <v>97283.57142857142</v>
      </c>
      <c r="E22" s="727">
        <f>+landbouw!D8</f>
        <v>0</v>
      </c>
      <c r="F22" s="727">
        <f>+landbouw!E8</f>
        <v>102.06105366928756</v>
      </c>
      <c r="G22" s="727">
        <f>+landbouw!F8</f>
        <v>14467.163056563477</v>
      </c>
      <c r="H22" s="727">
        <f>+landbouw!G8</f>
        <v>0</v>
      </c>
      <c r="I22" s="727">
        <f>+landbouw!H8</f>
        <v>0</v>
      </c>
      <c r="J22" s="727">
        <f>+landbouw!I8</f>
        <v>0</v>
      </c>
      <c r="K22" s="727">
        <f>+landbouw!J8</f>
        <v>569.80321965172334</v>
      </c>
      <c r="L22" s="727">
        <f>+landbouw!K8</f>
        <v>0</v>
      </c>
      <c r="M22" s="727">
        <f>+landbouw!L8</f>
        <v>0</v>
      </c>
      <c r="N22" s="727">
        <f>+landbouw!M8</f>
        <v>0</v>
      </c>
      <c r="O22" s="727">
        <f>+landbouw!N8</f>
        <v>0</v>
      </c>
      <c r="P22" s="727">
        <f>+landbouw!O8</f>
        <v>0</v>
      </c>
      <c r="Q22" s="728">
        <f>+landbouw!P8</f>
        <v>0</v>
      </c>
      <c r="R22" s="729">
        <f>SUM(C22:Q22)</f>
        <v>116380.57667809591</v>
      </c>
      <c r="S22" s="67"/>
    </row>
    <row r="23" spans="1:19" s="474" customFormat="1" ht="17.25" thickTop="1" thickBot="1">
      <c r="A23" s="734" t="s">
        <v>116</v>
      </c>
      <c r="B23" s="864"/>
      <c r="C23" s="735">
        <f ca="1">C20+C15+C22</f>
        <v>189540.41174290478</v>
      </c>
      <c r="D23" s="735">
        <f t="shared" ref="D23:Q23" ca="1" si="2">D20+D15+D22</f>
        <v>97283.57142857142</v>
      </c>
      <c r="E23" s="735">
        <f t="shared" ca="1" si="2"/>
        <v>232741.27151879462</v>
      </c>
      <c r="F23" s="735">
        <f t="shared" si="2"/>
        <v>19959.436787197767</v>
      </c>
      <c r="G23" s="735">
        <f t="shared" ca="1" si="2"/>
        <v>87139.091828347795</v>
      </c>
      <c r="H23" s="735">
        <f t="shared" si="2"/>
        <v>122350.65388644719</v>
      </c>
      <c r="I23" s="735">
        <f t="shared" si="2"/>
        <v>22997.307451967008</v>
      </c>
      <c r="J23" s="735">
        <f t="shared" si="2"/>
        <v>0</v>
      </c>
      <c r="K23" s="735">
        <f t="shared" si="2"/>
        <v>712.48673941148593</v>
      </c>
      <c r="L23" s="735">
        <f t="shared" si="2"/>
        <v>0</v>
      </c>
      <c r="M23" s="735">
        <f t="shared" ca="1" si="2"/>
        <v>0</v>
      </c>
      <c r="N23" s="735">
        <f t="shared" si="2"/>
        <v>4542.6615772949244</v>
      </c>
      <c r="O23" s="735">
        <f t="shared" ca="1" si="2"/>
        <v>50575.736303840524</v>
      </c>
      <c r="P23" s="735">
        <f t="shared" si="2"/>
        <v>579.99666666666667</v>
      </c>
      <c r="Q23" s="736">
        <f t="shared" si="2"/>
        <v>1372.8000000000002</v>
      </c>
      <c r="R23" s="737">
        <f ca="1">R20+R15+R22</f>
        <v>829795.42593144416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9212.3003955136173</v>
      </c>
      <c r="D36" s="718">
        <f ca="1">tertiair!C20</f>
        <v>0</v>
      </c>
      <c r="E36" s="718">
        <f ca="1">tertiair!D20</f>
        <v>10894.616963278608</v>
      </c>
      <c r="F36" s="718">
        <f>tertiair!E20</f>
        <v>215.20996255344758</v>
      </c>
      <c r="G36" s="718">
        <f ca="1">tertiair!F20</f>
        <v>3055.4566601507063</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23377.58398149638</v>
      </c>
    </row>
    <row r="37" spans="1:18">
      <c r="A37" s="885" t="s">
        <v>225</v>
      </c>
      <c r="B37" s="892"/>
      <c r="C37" s="718">
        <f ca="1">huishoudens!B12</f>
        <v>10403.202160512774</v>
      </c>
      <c r="D37" s="718">
        <f ca="1">huishoudens!C12</f>
        <v>0</v>
      </c>
      <c r="E37" s="718">
        <f>huishoudens!D12</f>
        <v>18637.447178355724</v>
      </c>
      <c r="F37" s="718">
        <f>huishoudens!E12</f>
        <v>2903.7506823136132</v>
      </c>
      <c r="G37" s="718">
        <f>huishoudens!F12</f>
        <v>9318.1254855949319</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41262.525506777041</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14378.316699438958</v>
      </c>
      <c r="D39" s="718">
        <f ca="1">industrie!C22</f>
        <v>0</v>
      </c>
      <c r="E39" s="718">
        <f>industrie!D22</f>
        <v>17464.35805839485</v>
      </c>
      <c r="F39" s="718">
        <f>industrie!E22</f>
        <v>1313.9106734546212</v>
      </c>
      <c r="G39" s="718">
        <f>industrie!F22</f>
        <v>7029.8228363207782</v>
      </c>
      <c r="H39" s="718">
        <f>industrie!G22</f>
        <v>0</v>
      </c>
      <c r="I39" s="718">
        <f>industrie!H22</f>
        <v>0</v>
      </c>
      <c r="J39" s="718">
        <f>industrie!I22</f>
        <v>0</v>
      </c>
      <c r="K39" s="718">
        <f>industrie!J22</f>
        <v>50.509965994955955</v>
      </c>
      <c r="L39" s="718">
        <f>industrie!K22</f>
        <v>0</v>
      </c>
      <c r="M39" s="718">
        <f>industrie!L22</f>
        <v>0</v>
      </c>
      <c r="N39" s="718">
        <f>industrie!M22</f>
        <v>0</v>
      </c>
      <c r="O39" s="718">
        <f>industrie!N22</f>
        <v>0</v>
      </c>
      <c r="P39" s="718">
        <f>industrie!O22</f>
        <v>0</v>
      </c>
      <c r="Q39" s="828">
        <f>industrie!P22</f>
        <v>0</v>
      </c>
      <c r="R39" s="918">
        <f ca="1">SUM(C39:Q39)</f>
        <v>40236.918233604163</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33993.819255465351</v>
      </c>
      <c r="D41" s="763">
        <f t="shared" ref="D41:R41" ca="1" si="4">SUM(D35:D40)</f>
        <v>0</v>
      </c>
      <c r="E41" s="763">
        <f t="shared" ca="1" si="4"/>
        <v>46996.422200029177</v>
      </c>
      <c r="F41" s="763">
        <f t="shared" si="4"/>
        <v>4432.8713183216823</v>
      </c>
      <c r="G41" s="763">
        <f t="shared" ca="1" si="4"/>
        <v>19403.404982066415</v>
      </c>
      <c r="H41" s="763">
        <f t="shared" si="4"/>
        <v>0</v>
      </c>
      <c r="I41" s="763">
        <f t="shared" si="4"/>
        <v>0</v>
      </c>
      <c r="J41" s="763">
        <f t="shared" si="4"/>
        <v>0</v>
      </c>
      <c r="K41" s="763">
        <f t="shared" si="4"/>
        <v>50.509965994955955</v>
      </c>
      <c r="L41" s="763">
        <f t="shared" si="4"/>
        <v>0</v>
      </c>
      <c r="M41" s="763">
        <f t="shared" ca="1" si="4"/>
        <v>0</v>
      </c>
      <c r="N41" s="763">
        <f t="shared" si="4"/>
        <v>0</v>
      </c>
      <c r="O41" s="763">
        <f t="shared" ca="1" si="4"/>
        <v>0</v>
      </c>
      <c r="P41" s="763">
        <f t="shared" si="4"/>
        <v>0</v>
      </c>
      <c r="Q41" s="764">
        <f t="shared" si="4"/>
        <v>0</v>
      </c>
      <c r="R41" s="765">
        <f t="shared" ca="1" si="4"/>
        <v>104877.02772187759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554.12221670262295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554.12221670262295</v>
      </c>
    </row>
    <row r="45" spans="1:18" ht="15" thickBot="1">
      <c r="A45" s="888" t="s">
        <v>307</v>
      </c>
      <c r="B45" s="898"/>
      <c r="C45" s="727">
        <f ca="1">transport!B18</f>
        <v>6.8161237486536423</v>
      </c>
      <c r="D45" s="727">
        <f>transport!C18</f>
        <v>0</v>
      </c>
      <c r="E45" s="727">
        <f>transport!D18</f>
        <v>17.314646767329965</v>
      </c>
      <c r="F45" s="727">
        <f>transport!E18</f>
        <v>74.752973189283026</v>
      </c>
      <c r="G45" s="727">
        <f>transport!F18</f>
        <v>0</v>
      </c>
      <c r="H45" s="727">
        <f>transport!G18</f>
        <v>32113.502370978782</v>
      </c>
      <c r="I45" s="727">
        <f>transport!H18</f>
        <v>5726.3295555397854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37938.715670223835</v>
      </c>
    </row>
    <row r="46" spans="1:18" ht="15.75" thickBot="1">
      <c r="A46" s="886" t="s">
        <v>230</v>
      </c>
      <c r="B46" s="899"/>
      <c r="C46" s="763">
        <f t="shared" ref="C46:R46" ca="1" si="5">SUM(C43:C45)</f>
        <v>6.8161237486536423</v>
      </c>
      <c r="D46" s="763">
        <f t="shared" ca="1" si="5"/>
        <v>0</v>
      </c>
      <c r="E46" s="763">
        <f t="shared" si="5"/>
        <v>17.314646767329965</v>
      </c>
      <c r="F46" s="763">
        <f t="shared" si="5"/>
        <v>74.752973189283026</v>
      </c>
      <c r="G46" s="763">
        <f t="shared" si="5"/>
        <v>0</v>
      </c>
      <c r="H46" s="763">
        <f t="shared" si="5"/>
        <v>32667.624587681406</v>
      </c>
      <c r="I46" s="763">
        <f t="shared" si="5"/>
        <v>5726.3295555397854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38492.837886926456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725.14279133130617</v>
      </c>
      <c r="D48" s="718">
        <f ca="1">+landbouw!C12</f>
        <v>14551.638655462186</v>
      </c>
      <c r="E48" s="718">
        <f>+landbouw!D12</f>
        <v>0</v>
      </c>
      <c r="F48" s="718">
        <f>+landbouw!E12</f>
        <v>23.167859182928275</v>
      </c>
      <c r="G48" s="718">
        <f>+landbouw!F12</f>
        <v>3862.7325361024486</v>
      </c>
      <c r="H48" s="718">
        <f>+landbouw!G12</f>
        <v>0</v>
      </c>
      <c r="I48" s="718">
        <f>+landbouw!H12</f>
        <v>0</v>
      </c>
      <c r="J48" s="718">
        <f>+landbouw!I12</f>
        <v>0</v>
      </c>
      <c r="K48" s="718">
        <f>+landbouw!J12</f>
        <v>201.71033975671006</v>
      </c>
      <c r="L48" s="718">
        <f>+landbouw!K12</f>
        <v>0</v>
      </c>
      <c r="M48" s="718">
        <f>+landbouw!L12</f>
        <v>0</v>
      </c>
      <c r="N48" s="718">
        <f>+landbouw!M12</f>
        <v>0</v>
      </c>
      <c r="O48" s="718">
        <f>+landbouw!N12</f>
        <v>0</v>
      </c>
      <c r="P48" s="718">
        <f>+landbouw!O12</f>
        <v>0</v>
      </c>
      <c r="Q48" s="719">
        <f>+landbouw!P12</f>
        <v>0</v>
      </c>
      <c r="R48" s="761">
        <f ca="1">SUM(C48:Q48)</f>
        <v>19364.392181835581</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34725.778170545316</v>
      </c>
      <c r="D53" s="773">
        <f t="shared" ref="D53:Q53" ca="1" si="6">D41+D46+D48</f>
        <v>14551.638655462186</v>
      </c>
      <c r="E53" s="773">
        <f t="shared" ca="1" si="6"/>
        <v>47013.736846796506</v>
      </c>
      <c r="F53" s="773">
        <f t="shared" si="6"/>
        <v>4530.7921506938937</v>
      </c>
      <c r="G53" s="773">
        <f t="shared" ca="1" si="6"/>
        <v>23266.137518168864</v>
      </c>
      <c r="H53" s="773">
        <f t="shared" si="6"/>
        <v>32667.624587681406</v>
      </c>
      <c r="I53" s="773">
        <f t="shared" si="6"/>
        <v>5726.3295555397854</v>
      </c>
      <c r="J53" s="773">
        <f t="shared" si="6"/>
        <v>0</v>
      </c>
      <c r="K53" s="773">
        <f t="shared" si="6"/>
        <v>252.22030575166602</v>
      </c>
      <c r="L53" s="773">
        <f t="shared" si="6"/>
        <v>0</v>
      </c>
      <c r="M53" s="773">
        <f t="shared" ca="1" si="6"/>
        <v>0</v>
      </c>
      <c r="N53" s="773">
        <f t="shared" si="6"/>
        <v>0</v>
      </c>
      <c r="O53" s="773">
        <f t="shared" ca="1" si="6"/>
        <v>0</v>
      </c>
      <c r="P53" s="773">
        <f>P41+P46+P48</f>
        <v>0</v>
      </c>
      <c r="Q53" s="774">
        <f t="shared" si="6"/>
        <v>0</v>
      </c>
      <c r="R53" s="775">
        <f ca="1">R41+R46+R48</f>
        <v>162734.25779063962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0.18321041856576653</v>
      </c>
      <c r="D55" s="836">
        <f t="shared" ca="1" si="7"/>
        <v>0.14957960981260279</v>
      </c>
      <c r="E55" s="836">
        <f t="shared" ca="1" si="7"/>
        <v>0.20199999999999999</v>
      </c>
      <c r="F55" s="836">
        <f t="shared" si="7"/>
        <v>0.22700000000000004</v>
      </c>
      <c r="G55" s="836">
        <f t="shared" ca="1" si="7"/>
        <v>0.26700000000000002</v>
      </c>
      <c r="H55" s="836">
        <f t="shared" si="7"/>
        <v>0.26700000000000007</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10402.856938733819</v>
      </c>
      <c r="C66" s="795">
        <f>'lokale energieproductie'!B6</f>
        <v>10402.856938733819</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68098.5</v>
      </c>
      <c r="C67" s="794">
        <f>B67*IFERROR(SUM(J67:L67)/SUM(D67:M67),0)</f>
        <v>25236.000000000004</v>
      </c>
      <c r="D67" s="826">
        <f>'lokale energieproductie'!C7</f>
        <v>50426.470588235294</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29689.411764705885</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10186.14705882353</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78501.356938733821</v>
      </c>
      <c r="C69" s="803">
        <f>SUM(C64:C68)</f>
        <v>35638.856938733821</v>
      </c>
      <c r="D69" s="804">
        <f t="shared" ref="D69:M69" si="8">SUM(D67:D68)</f>
        <v>50426.470588235294</v>
      </c>
      <c r="E69" s="804">
        <f t="shared" si="8"/>
        <v>0</v>
      </c>
      <c r="F69" s="804">
        <f t="shared" si="8"/>
        <v>0</v>
      </c>
      <c r="G69" s="804">
        <f t="shared" si="8"/>
        <v>0</v>
      </c>
      <c r="H69" s="804">
        <f t="shared" si="8"/>
        <v>0</v>
      </c>
      <c r="I69" s="804">
        <f t="shared" si="8"/>
        <v>0</v>
      </c>
      <c r="J69" s="804">
        <f t="shared" si="8"/>
        <v>0</v>
      </c>
      <c r="K69" s="804">
        <f t="shared" si="8"/>
        <v>29689.411764705885</v>
      </c>
      <c r="L69" s="804">
        <f t="shared" si="8"/>
        <v>0</v>
      </c>
      <c r="M69" s="930">
        <f t="shared" si="8"/>
        <v>0</v>
      </c>
      <c r="N69" s="805">
        <v>0</v>
      </c>
      <c r="O69" s="805">
        <f>SUM(O67:O68)</f>
        <v>10186.14705882353</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97283.57142857142</v>
      </c>
      <c r="C78" s="817">
        <f>B78*IFERROR(SUM(I78:L78)/SUM(D78:M78),0)</f>
        <v>36051.428571428565</v>
      </c>
      <c r="D78" s="832">
        <f>'lokale energieproductie'!C16</f>
        <v>72037.815126050424</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42413.445378151264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14551.638655462186</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97283.57142857142</v>
      </c>
      <c r="C81" s="803">
        <f>SUM(C78:C80)</f>
        <v>36051.428571428565</v>
      </c>
      <c r="D81" s="803">
        <f t="shared" ref="D81:P81" si="9">SUM(D78:D80)</f>
        <v>72037.815126050424</v>
      </c>
      <c r="E81" s="803">
        <f t="shared" si="9"/>
        <v>0</v>
      </c>
      <c r="F81" s="803">
        <f t="shared" si="9"/>
        <v>0</v>
      </c>
      <c r="G81" s="803">
        <f t="shared" si="9"/>
        <v>0</v>
      </c>
      <c r="H81" s="803">
        <f t="shared" si="9"/>
        <v>0</v>
      </c>
      <c r="I81" s="803">
        <f t="shared" si="9"/>
        <v>0</v>
      </c>
      <c r="J81" s="803">
        <f t="shared" si="9"/>
        <v>0</v>
      </c>
      <c r="K81" s="803">
        <f t="shared" si="9"/>
        <v>42413.445378151264</v>
      </c>
      <c r="L81" s="803">
        <f t="shared" si="9"/>
        <v>0</v>
      </c>
      <c r="M81" s="803">
        <f t="shared" si="9"/>
        <v>0</v>
      </c>
      <c r="N81" s="803">
        <v>0</v>
      </c>
      <c r="O81" s="803">
        <f>SUM(O78:O80)</f>
        <v>14551.638655462186</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56782.80876138257</v>
      </c>
      <c r="C4" s="478">
        <f>huishoudens!C8</f>
        <v>0</v>
      </c>
      <c r="D4" s="478">
        <f>huishoudens!D8</f>
        <v>92264.589991860004</v>
      </c>
      <c r="E4" s="478">
        <f>huishoudens!E8</f>
        <v>12791.853226051158</v>
      </c>
      <c r="F4" s="478">
        <f>huishoudens!F8</f>
        <v>34899.346387995996</v>
      </c>
      <c r="G4" s="478">
        <f>huishoudens!G8</f>
        <v>0</v>
      </c>
      <c r="H4" s="478">
        <f>huishoudens!H8</f>
        <v>0</v>
      </c>
      <c r="I4" s="478">
        <f>huishoudens!I8</f>
        <v>0</v>
      </c>
      <c r="J4" s="478">
        <f>huishoudens!J8</f>
        <v>0</v>
      </c>
      <c r="K4" s="478">
        <f>huishoudens!K8</f>
        <v>0</v>
      </c>
      <c r="L4" s="478">
        <f>huishoudens!L8</f>
        <v>0</v>
      </c>
      <c r="M4" s="478">
        <f>huishoudens!M8</f>
        <v>0</v>
      </c>
      <c r="N4" s="478">
        <f>huishoudens!N8</f>
        <v>25225.154991538577</v>
      </c>
      <c r="O4" s="478">
        <f>huishoudens!O8</f>
        <v>579.99666666666667</v>
      </c>
      <c r="P4" s="479">
        <f>huishoudens!P8</f>
        <v>1258.4000000000001</v>
      </c>
      <c r="Q4" s="480">
        <f>SUM(B4:P4)</f>
        <v>223802.15002549498</v>
      </c>
    </row>
    <row r="5" spans="1:17">
      <c r="A5" s="477" t="s">
        <v>156</v>
      </c>
      <c r="B5" s="478">
        <f ca="1">tertiair!B16</f>
        <v>47836.2239405</v>
      </c>
      <c r="C5" s="478">
        <f ca="1">tertiair!C16</f>
        <v>0</v>
      </c>
      <c r="D5" s="478">
        <f ca="1">tertiair!D16</f>
        <v>53933.747342963405</v>
      </c>
      <c r="E5" s="478">
        <f>tertiair!E16</f>
        <v>948.06150904602453</v>
      </c>
      <c r="F5" s="478">
        <f ca="1">tertiair!F16</f>
        <v>11443.657903186166</v>
      </c>
      <c r="G5" s="478">
        <f>tertiair!G16</f>
        <v>0</v>
      </c>
      <c r="H5" s="478">
        <f>tertiair!H16</f>
        <v>0</v>
      </c>
      <c r="I5" s="478">
        <f>tertiair!I16</f>
        <v>0</v>
      </c>
      <c r="J5" s="478">
        <f>tertiair!J16</f>
        <v>0</v>
      </c>
      <c r="K5" s="478">
        <f>tertiair!K16</f>
        <v>0</v>
      </c>
      <c r="L5" s="478">
        <f ca="1">tertiair!L16</f>
        <v>0</v>
      </c>
      <c r="M5" s="478">
        <f>tertiair!M16</f>
        <v>0</v>
      </c>
      <c r="N5" s="478">
        <f ca="1">tertiair!N16</f>
        <v>3844.1509747296527</v>
      </c>
      <c r="O5" s="478">
        <f>tertiair!O16</f>
        <v>0</v>
      </c>
      <c r="P5" s="479">
        <f>tertiair!P16</f>
        <v>114.4</v>
      </c>
      <c r="Q5" s="477">
        <f t="shared" ref="Q5:Q13" ca="1" si="0">SUM(B5:P5)</f>
        <v>118120.24167042524</v>
      </c>
    </row>
    <row r="6" spans="1:17">
      <c r="A6" s="477" t="s">
        <v>194</v>
      </c>
      <c r="B6" s="478">
        <f>'openbare verlichting'!B8</f>
        <v>2446.3989999999999</v>
      </c>
      <c r="C6" s="478"/>
      <c r="D6" s="478"/>
      <c r="E6" s="478"/>
      <c r="F6" s="478"/>
      <c r="G6" s="478"/>
      <c r="H6" s="478"/>
      <c r="I6" s="478"/>
      <c r="J6" s="478"/>
      <c r="K6" s="478"/>
      <c r="L6" s="478"/>
      <c r="M6" s="478"/>
      <c r="N6" s="478"/>
      <c r="O6" s="478"/>
      <c r="P6" s="479"/>
      <c r="Q6" s="477">
        <f t="shared" si="0"/>
        <v>2446.3989999999999</v>
      </c>
    </row>
    <row r="7" spans="1:17">
      <c r="A7" s="477" t="s">
        <v>112</v>
      </c>
      <c r="B7" s="478">
        <f>landbouw!B8</f>
        <v>3957.97791964</v>
      </c>
      <c r="C7" s="478">
        <f>landbouw!C8</f>
        <v>97283.57142857142</v>
      </c>
      <c r="D7" s="478">
        <f>landbouw!D8</f>
        <v>0</v>
      </c>
      <c r="E7" s="478">
        <f>landbouw!E8</f>
        <v>102.06105366928756</v>
      </c>
      <c r="F7" s="478">
        <f>landbouw!F8</f>
        <v>14467.163056563477</v>
      </c>
      <c r="G7" s="478">
        <f>landbouw!G8</f>
        <v>0</v>
      </c>
      <c r="H7" s="478">
        <f>landbouw!H8</f>
        <v>0</v>
      </c>
      <c r="I7" s="478">
        <f>landbouw!I8</f>
        <v>0</v>
      </c>
      <c r="J7" s="478">
        <f>landbouw!J8</f>
        <v>569.80321965172334</v>
      </c>
      <c r="K7" s="478">
        <f>landbouw!K8</f>
        <v>0</v>
      </c>
      <c r="L7" s="478">
        <f>landbouw!L8</f>
        <v>0</v>
      </c>
      <c r="M7" s="478">
        <f>landbouw!M8</f>
        <v>0</v>
      </c>
      <c r="N7" s="478">
        <f>landbouw!N8</f>
        <v>0</v>
      </c>
      <c r="O7" s="478">
        <f>landbouw!O8</f>
        <v>0</v>
      </c>
      <c r="P7" s="479">
        <f>landbouw!P8</f>
        <v>0</v>
      </c>
      <c r="Q7" s="477">
        <f t="shared" si="0"/>
        <v>116380.57667809591</v>
      </c>
    </row>
    <row r="8" spans="1:17">
      <c r="A8" s="477" t="s">
        <v>638</v>
      </c>
      <c r="B8" s="478">
        <f>industrie!B18</f>
        <v>78479.798321500013</v>
      </c>
      <c r="C8" s="478">
        <f>industrie!C18</f>
        <v>0</v>
      </c>
      <c r="D8" s="478">
        <f>industrie!D18</f>
        <v>86457.218110865579</v>
      </c>
      <c r="E8" s="478">
        <f>industrie!E18</f>
        <v>5788.1527464961291</v>
      </c>
      <c r="F8" s="478">
        <f>industrie!F18</f>
        <v>26328.924480602163</v>
      </c>
      <c r="G8" s="478">
        <f>industrie!G18</f>
        <v>0</v>
      </c>
      <c r="H8" s="478">
        <f>industrie!H18</f>
        <v>0</v>
      </c>
      <c r="I8" s="478">
        <f>industrie!I18</f>
        <v>0</v>
      </c>
      <c r="J8" s="478">
        <f>industrie!J18</f>
        <v>142.68351975976259</v>
      </c>
      <c r="K8" s="478">
        <f>industrie!K18</f>
        <v>0</v>
      </c>
      <c r="L8" s="478">
        <f>industrie!L18</f>
        <v>0</v>
      </c>
      <c r="M8" s="478">
        <f>industrie!M18</f>
        <v>0</v>
      </c>
      <c r="N8" s="478">
        <f>industrie!N18</f>
        <v>21506.430337572296</v>
      </c>
      <c r="O8" s="478">
        <f>industrie!O18</f>
        <v>0</v>
      </c>
      <c r="P8" s="479">
        <f>industrie!P18</f>
        <v>0</v>
      </c>
      <c r="Q8" s="477">
        <f t="shared" si="0"/>
        <v>218703.20751679596</v>
      </c>
    </row>
    <row r="9" spans="1:17" s="483" customFormat="1">
      <c r="A9" s="481" t="s">
        <v>564</v>
      </c>
      <c r="B9" s="482">
        <f>transport!B14</f>
        <v>37.203799882193266</v>
      </c>
      <c r="C9" s="482">
        <f>transport!C14</f>
        <v>0</v>
      </c>
      <c r="D9" s="482">
        <f>transport!D14</f>
        <v>85.716073105593878</v>
      </c>
      <c r="E9" s="482">
        <f>transport!E14</f>
        <v>329.3082519351675</v>
      </c>
      <c r="F9" s="482">
        <f>transport!F14</f>
        <v>0</v>
      </c>
      <c r="G9" s="482">
        <f>transport!G14</f>
        <v>120275.28977894674</v>
      </c>
      <c r="H9" s="482">
        <f>transport!H14</f>
        <v>22997.307451967008</v>
      </c>
      <c r="I9" s="482">
        <f>transport!I14</f>
        <v>0</v>
      </c>
      <c r="J9" s="482">
        <f>transport!J14</f>
        <v>0</v>
      </c>
      <c r="K9" s="482">
        <f>transport!K14</f>
        <v>0</v>
      </c>
      <c r="L9" s="482">
        <f>transport!L14</f>
        <v>0</v>
      </c>
      <c r="M9" s="482">
        <f>transport!M14</f>
        <v>4478.2884256476682</v>
      </c>
      <c r="N9" s="482">
        <f>transport!N14</f>
        <v>0</v>
      </c>
      <c r="O9" s="482">
        <f>transport!O14</f>
        <v>0</v>
      </c>
      <c r="P9" s="482">
        <f>transport!P14</f>
        <v>0</v>
      </c>
      <c r="Q9" s="481">
        <f>SUM(B9:P9)</f>
        <v>148203.11378148437</v>
      </c>
    </row>
    <row r="10" spans="1:17">
      <c r="A10" s="477" t="s">
        <v>554</v>
      </c>
      <c r="B10" s="478">
        <f>transport!B54</f>
        <v>0</v>
      </c>
      <c r="C10" s="478">
        <f>transport!C54</f>
        <v>0</v>
      </c>
      <c r="D10" s="478">
        <f>transport!D54</f>
        <v>0</v>
      </c>
      <c r="E10" s="478">
        <f>transport!E54</f>
        <v>0</v>
      </c>
      <c r="F10" s="478">
        <f>transport!F54</f>
        <v>0</v>
      </c>
      <c r="G10" s="478">
        <f>transport!G54</f>
        <v>2075.3641075004602</v>
      </c>
      <c r="H10" s="478">
        <f>transport!H54</f>
        <v>0</v>
      </c>
      <c r="I10" s="478">
        <f>transport!I54</f>
        <v>0</v>
      </c>
      <c r="J10" s="478">
        <f>transport!J54</f>
        <v>0</v>
      </c>
      <c r="K10" s="478">
        <f>transport!K54</f>
        <v>0</v>
      </c>
      <c r="L10" s="478">
        <f>transport!L54</f>
        <v>0</v>
      </c>
      <c r="M10" s="478">
        <f>transport!M54</f>
        <v>64.37315164725662</v>
      </c>
      <c r="N10" s="478">
        <f>transport!N54</f>
        <v>0</v>
      </c>
      <c r="O10" s="478">
        <f>transport!O54</f>
        <v>0</v>
      </c>
      <c r="P10" s="479">
        <f>transport!P54</f>
        <v>0</v>
      </c>
      <c r="Q10" s="477">
        <f t="shared" si="0"/>
        <v>2139.7372591477169</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189540.41174290481</v>
      </c>
      <c r="C14" s="488">
        <f t="shared" ref="C14:Q14" ca="1" si="1">SUM(C4:C13)</f>
        <v>97283.57142857142</v>
      </c>
      <c r="D14" s="488">
        <f t="shared" ca="1" si="1"/>
        <v>232741.27151879462</v>
      </c>
      <c r="E14" s="488">
        <f t="shared" si="1"/>
        <v>19959.436787197767</v>
      </c>
      <c r="F14" s="488">
        <f t="shared" ca="1" si="1"/>
        <v>87139.091828347809</v>
      </c>
      <c r="G14" s="488">
        <f t="shared" si="1"/>
        <v>122350.65388644719</v>
      </c>
      <c r="H14" s="488">
        <f t="shared" si="1"/>
        <v>22997.307451967008</v>
      </c>
      <c r="I14" s="488">
        <f t="shared" si="1"/>
        <v>0</v>
      </c>
      <c r="J14" s="488">
        <f t="shared" si="1"/>
        <v>712.48673941148593</v>
      </c>
      <c r="K14" s="488">
        <f t="shared" si="1"/>
        <v>0</v>
      </c>
      <c r="L14" s="488">
        <f t="shared" ca="1" si="1"/>
        <v>0</v>
      </c>
      <c r="M14" s="488">
        <f t="shared" si="1"/>
        <v>4542.6615772949244</v>
      </c>
      <c r="N14" s="488">
        <f t="shared" ca="1" si="1"/>
        <v>50575.736303840524</v>
      </c>
      <c r="O14" s="488">
        <f t="shared" si="1"/>
        <v>579.99666666666667</v>
      </c>
      <c r="P14" s="489">
        <f t="shared" si="1"/>
        <v>1372.8000000000002</v>
      </c>
      <c r="Q14" s="489">
        <f t="shared" ca="1" si="1"/>
        <v>829795.42593144416</v>
      </c>
    </row>
    <row r="16" spans="1:17">
      <c r="A16" s="491" t="s">
        <v>559</v>
      </c>
      <c r="B16" s="841">
        <f ca="1">huishoudens!B10</f>
        <v>0.1832104185657665</v>
      </c>
      <c r="C16" s="841">
        <f ca="1">huishoudens!C10</f>
        <v>0.14957960981260279</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10403.202160512774</v>
      </c>
      <c r="C21" s="478">
        <f t="shared" ref="C21:C30" ca="1" si="3">C4*$C$16</f>
        <v>0</v>
      </c>
      <c r="D21" s="478">
        <f t="shared" ref="D21:D30" si="4">D4*$D$16</f>
        <v>18637.447178355724</v>
      </c>
      <c r="E21" s="478">
        <f t="shared" ref="E21:E30" si="5">E4*$E$16</f>
        <v>2903.7506823136132</v>
      </c>
      <c r="F21" s="478">
        <f t="shared" ref="F21:F30" si="6">F4*$F$16</f>
        <v>9318.1254855949319</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41262.525506777041</v>
      </c>
    </row>
    <row r="22" spans="1:17">
      <c r="A22" s="477" t="s">
        <v>156</v>
      </c>
      <c r="B22" s="478">
        <f t="shared" ca="1" si="2"/>
        <v>8764.0946107447453</v>
      </c>
      <c r="C22" s="478">
        <f t="shared" ca="1" si="3"/>
        <v>0</v>
      </c>
      <c r="D22" s="478">
        <f t="shared" ca="1" si="4"/>
        <v>10894.616963278608</v>
      </c>
      <c r="E22" s="478">
        <f t="shared" si="5"/>
        <v>215.20996255344758</v>
      </c>
      <c r="F22" s="478">
        <f t="shared" ca="1" si="6"/>
        <v>3055.4566601507063</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22929.378196727506</v>
      </c>
    </row>
    <row r="23" spans="1:17">
      <c r="A23" s="477" t="s">
        <v>194</v>
      </c>
      <c r="B23" s="478">
        <f t="shared" ca="1" si="2"/>
        <v>448.2057847688726</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448.2057847688726</v>
      </c>
    </row>
    <row r="24" spans="1:17">
      <c r="A24" s="477" t="s">
        <v>112</v>
      </c>
      <c r="B24" s="478">
        <f t="shared" ca="1" si="2"/>
        <v>725.14279133130617</v>
      </c>
      <c r="C24" s="478">
        <f t="shared" ca="1" si="3"/>
        <v>14551.638655462186</v>
      </c>
      <c r="D24" s="478">
        <f t="shared" si="4"/>
        <v>0</v>
      </c>
      <c r="E24" s="478">
        <f t="shared" si="5"/>
        <v>23.167859182928275</v>
      </c>
      <c r="F24" s="478">
        <f t="shared" si="6"/>
        <v>3862.7325361024486</v>
      </c>
      <c r="G24" s="478">
        <f t="shared" si="7"/>
        <v>0</v>
      </c>
      <c r="H24" s="478">
        <f t="shared" si="8"/>
        <v>0</v>
      </c>
      <c r="I24" s="478">
        <f t="shared" si="9"/>
        <v>0</v>
      </c>
      <c r="J24" s="478">
        <f t="shared" si="10"/>
        <v>201.71033975671006</v>
      </c>
      <c r="K24" s="478">
        <f t="shared" si="11"/>
        <v>0</v>
      </c>
      <c r="L24" s="478">
        <f t="shared" si="12"/>
        <v>0</v>
      </c>
      <c r="M24" s="478">
        <f t="shared" si="13"/>
        <v>0</v>
      </c>
      <c r="N24" s="478">
        <f t="shared" si="14"/>
        <v>0</v>
      </c>
      <c r="O24" s="478">
        <f t="shared" si="15"/>
        <v>0</v>
      </c>
      <c r="P24" s="479">
        <f t="shared" si="16"/>
        <v>0</v>
      </c>
      <c r="Q24" s="477">
        <f t="shared" ca="1" si="17"/>
        <v>19364.392181835581</v>
      </c>
    </row>
    <row r="25" spans="1:17">
      <c r="A25" s="477" t="s">
        <v>638</v>
      </c>
      <c r="B25" s="478">
        <f t="shared" ca="1" si="2"/>
        <v>14378.316699438958</v>
      </c>
      <c r="C25" s="478">
        <f t="shared" ca="1" si="3"/>
        <v>0</v>
      </c>
      <c r="D25" s="478">
        <f t="shared" si="4"/>
        <v>17464.35805839485</v>
      </c>
      <c r="E25" s="478">
        <f t="shared" si="5"/>
        <v>1313.9106734546212</v>
      </c>
      <c r="F25" s="478">
        <f t="shared" si="6"/>
        <v>7029.8228363207782</v>
      </c>
      <c r="G25" s="478">
        <f t="shared" si="7"/>
        <v>0</v>
      </c>
      <c r="H25" s="478">
        <f t="shared" si="8"/>
        <v>0</v>
      </c>
      <c r="I25" s="478">
        <f t="shared" si="9"/>
        <v>0</v>
      </c>
      <c r="J25" s="478">
        <f t="shared" si="10"/>
        <v>50.509965994955955</v>
      </c>
      <c r="K25" s="478">
        <f t="shared" si="11"/>
        <v>0</v>
      </c>
      <c r="L25" s="478">
        <f t="shared" si="12"/>
        <v>0</v>
      </c>
      <c r="M25" s="478">
        <f t="shared" si="13"/>
        <v>0</v>
      </c>
      <c r="N25" s="478">
        <f t="shared" si="14"/>
        <v>0</v>
      </c>
      <c r="O25" s="478">
        <f t="shared" si="15"/>
        <v>0</v>
      </c>
      <c r="P25" s="479">
        <f t="shared" si="16"/>
        <v>0</v>
      </c>
      <c r="Q25" s="477">
        <f t="shared" ca="1" si="17"/>
        <v>40236.918233604163</v>
      </c>
    </row>
    <row r="26" spans="1:17" s="483" customFormat="1">
      <c r="A26" s="481" t="s">
        <v>564</v>
      </c>
      <c r="B26" s="835">
        <f t="shared" ca="1" si="2"/>
        <v>6.8161237486536423</v>
      </c>
      <c r="C26" s="482">
        <f t="shared" ca="1" si="3"/>
        <v>0</v>
      </c>
      <c r="D26" s="482">
        <f t="shared" si="4"/>
        <v>17.314646767329965</v>
      </c>
      <c r="E26" s="482">
        <f t="shared" si="5"/>
        <v>74.752973189283026</v>
      </c>
      <c r="F26" s="482">
        <f t="shared" si="6"/>
        <v>0</v>
      </c>
      <c r="G26" s="482">
        <f t="shared" si="7"/>
        <v>32113.502370978782</v>
      </c>
      <c r="H26" s="482">
        <f t="shared" si="8"/>
        <v>5726.3295555397854</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37938.715670223835</v>
      </c>
    </row>
    <row r="27" spans="1:17">
      <c r="A27" s="477" t="s">
        <v>554</v>
      </c>
      <c r="B27" s="478">
        <f t="shared" ca="1" si="2"/>
        <v>0</v>
      </c>
      <c r="C27" s="478">
        <f t="shared" ca="1" si="3"/>
        <v>0</v>
      </c>
      <c r="D27" s="478">
        <f t="shared" si="4"/>
        <v>0</v>
      </c>
      <c r="E27" s="478">
        <f t="shared" si="5"/>
        <v>0</v>
      </c>
      <c r="F27" s="478">
        <f t="shared" si="6"/>
        <v>0</v>
      </c>
      <c r="G27" s="478">
        <f t="shared" si="7"/>
        <v>554.12221670262295</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554.12221670262295</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34725.778170545316</v>
      </c>
      <c r="C31" s="488">
        <f t="shared" ca="1" si="18"/>
        <v>14551.638655462186</v>
      </c>
      <c r="D31" s="488">
        <f t="shared" ca="1" si="18"/>
        <v>47013.736846796506</v>
      </c>
      <c r="E31" s="488">
        <f t="shared" si="18"/>
        <v>4530.7921506938928</v>
      </c>
      <c r="F31" s="488">
        <f t="shared" ca="1" si="18"/>
        <v>23266.137518168864</v>
      </c>
      <c r="G31" s="488">
        <f t="shared" si="18"/>
        <v>32667.624587681406</v>
      </c>
      <c r="H31" s="488">
        <f t="shared" si="18"/>
        <v>5726.3295555397854</v>
      </c>
      <c r="I31" s="488">
        <f t="shared" si="18"/>
        <v>0</v>
      </c>
      <c r="J31" s="488">
        <f t="shared" si="18"/>
        <v>252.22030575166602</v>
      </c>
      <c r="K31" s="488">
        <f t="shared" si="18"/>
        <v>0</v>
      </c>
      <c r="L31" s="488">
        <f t="shared" ca="1" si="18"/>
        <v>0</v>
      </c>
      <c r="M31" s="488">
        <f t="shared" si="18"/>
        <v>0</v>
      </c>
      <c r="N31" s="488">
        <f t="shared" ca="1" si="18"/>
        <v>0</v>
      </c>
      <c r="O31" s="488">
        <f t="shared" si="18"/>
        <v>0</v>
      </c>
      <c r="P31" s="489">
        <f t="shared" si="18"/>
        <v>0</v>
      </c>
      <c r="Q31" s="489">
        <f t="shared" ca="1" si="18"/>
        <v>162734.25779063962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0.1832104185657665</v>
      </c>
      <c r="C17" s="528">
        <f ca="1">'EF ele_warmte'!B22</f>
        <v>0.14957960981260279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1.5633333333333335</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0.1832104185657665</v>
      </c>
      <c r="C17" s="528">
        <f ca="1">'EF ele_warmte'!B22</f>
        <v>0.14957960981260279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0.1832104185657665</v>
      </c>
      <c r="C29" s="529">
        <f ca="1">'EF ele_warmte'!B22</f>
        <v>0.14957960981260279</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2018-06-27T09:43:47Z</dcterms:modified>
</cp:coreProperties>
</file>