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<sst xmlns="http://schemas.openxmlformats.org/spreadsheetml/2006/main" count="1933" uniqueCount="824">
  <si>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</si>
  <si>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</si>
  <si>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</si>
  <si>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</si>
  <si>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</si>
  <si>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</si>
  <si>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</si>
  <si>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</si>
  <si>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</si>
  <si>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</si>
  <si>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</si>
  <si>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</si>
  <si>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</si>
  <si>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</si>
  <si>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</si>
  <si>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</si>
  <si>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</si>
  <si>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</si>
  <si>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</si>
  <si>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</si>
  <si>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</si>
  <si>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</si>
  <si>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</si>
  <si>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</si>
  <si>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</si>
  <si>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</si>
  <si>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</si>
  <si>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</si>
  <si>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</si>
  <si>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</si>
  <si>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</si>
  <si>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</si>
  <si>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</si>
  <si>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</si>
  <si>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</si>
  <si>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</si>
  <si>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</si>
  <si>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</si>
  <si>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</si>
  <si>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</si>
  <si>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</si>
  <si>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</si>
  <si>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</si>
  <si>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</si>
  <si>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</si>
  <si>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</si>
  <si>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</si>
  <si>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</si>
  <si>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</si>
  <si>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</si>
  <si>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</si>
  <si>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</si>
  <si>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</si>
  <si>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</si>
  <si>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</si>
  <si>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</si>
  <si>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</si>
  <si>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</si>
  <si>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</si>
  <si>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</si>
  <si>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</si>
  <si>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</si>
  <si>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</si>
  <si>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</si>
  <si>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</si>
  <si>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</si>
  <si>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</si>
  <si>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</si>
  <si>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</si>
  <si>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</si>
  <si>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</si>
  <si>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</si>
  <si>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</si>
  <si>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</si>
  <si>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</si>
  <si>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</si>
  <si>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</si>
  <si>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</si>
  <si>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</si>
  <si>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</si>
  <si>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</si>
  <si>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</si>
  <si>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</si>
  <si>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</si>
  <si>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</si>
  <si>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</si>
  <si>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</si>
  <si>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</si>
  <si>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</si>
  <si>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</si>
  <si>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</si>
  <si>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</si>
  <si>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</si>
  <si>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</si>
  <si>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</si>
  <si>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</si>
  <si>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</si>
  <si>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</si>
  <si>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</si>
  <si>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</si>
  <si>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</si>
  <si>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</si>
  <si>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</si>
  <si>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</si>
  <si>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</si>
  <si>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</si>
  <si>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</si>
  <si>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</si>
  <si>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</si>
  <si>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</si>
  <si>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</si>
  <si>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</si>
  <si>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</si>
  <si>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</si>
  <si>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</si>
  <si>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</si>
  <si>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</si>
  <si>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</si>
  <si>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</si>
  <si>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</si>
  <si>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</si>
  <si>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</si>
  <si>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</si>
  <si>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</si>
  <si>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</si>
  <si>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</si>
  <si>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</si>
  <si>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</si>
  <si>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</si>
  <si>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</si>
  <si>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</si>
  <si>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</si>
  <si>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</si>
  <si>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</si>
  <si>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</si>
  <si>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</si>
  <si>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</si>
  <si>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</si>
  <si>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</si>
  <si>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</si>
  <si>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</si>
  <si>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</si>
  <si>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</si>
  <si>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</si>
  <si>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</si>
  <si>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</si>
  <si>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</si>
  <si>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</si>
  <si>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</si>
  <si>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</si>
  <si>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</si>
  <si>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</si>
  <si>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</si>
  <si>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</si>
  <si>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</si>
  <si>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</si>
  <si>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</si>
  <si>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</si>
  <si>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</si>
  <si>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</si>
  <si>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</si>
  <si>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</si>
  <si>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</si>
  <si>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</si>
  <si>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</si>
  <si>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</si>
  <si>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</si>
  <si>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</si>
  <si>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</si>
  <si>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</si>
  <si>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</si>
  <si>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</si>
  <si>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</si>
  <si>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</si>
  <si>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</si>
  <si>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</si>
  <si>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</si>
  <si>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</si>
  <si>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</si>
  <si>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</si>
  <si>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</si>
  <si>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</si>
  <si>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</si>
  <si>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</si>
  <si>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</si>
  <si>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</si>
  <si>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</si>
  <si>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</si>
  <si>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</si>
  <si>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</si>
  <si>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</si>
  <si>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</si>
  <si>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</si>
  <si>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</si>
  <si>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</si>
  <si>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</si>
  <si>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</si>
  <si>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</si>
  <si>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</si>
  <si>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</si>
  <si>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</si>
  <si>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</si>
  <si>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</si>
  <si>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</si>
  <si>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</si>
  <si>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</si>
  <si>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</si>
  <si>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</si>
  <si>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</si>
  <si>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</si>
  <si>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</si>
  <si>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</si>
  <si>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</si>
  <si>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</si>
  <si>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</si>
  <si>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</si>
  <si>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</si>
  <si>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</si>
  <si>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</si>
  <si>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</si>
  <si>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</si>
  <si>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</si>
  <si>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</si>
  <si>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</si>
  <si>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</si>
  <si>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</si>
  <si>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</si>
  <si>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</si>
  <si>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</si>
  <si>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</si>
  <si>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</si>
  <si>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</si>
  <si>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</si>
  <si>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</si>
  <si>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</si>
  <si>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</si>
  <si>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</si>
  <si>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</si>
  <si>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</si>
  <si>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</si>
  <si>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</si>
  <si>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</si>
  <si>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</si>
  <si>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</si>
  <si>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</si>
  <si>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</si>
  <si>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</si>
  <si>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</si>
  <si>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</si>
  <si>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</si>
  <si>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</si>
  <si>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</si>
  <si>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</si>
  <si>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</si>
  <si>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</si>
  <si>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</si>
  <si>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</si>
  <si>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</si>
  <si>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</si>
  <si>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</si>
  <si>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</si>
  <si>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</si>
  <si>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</si>
  <si>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</si>
  <si>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</si>
  <si>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</si>
  <si>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</si>
  <si>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</si>
  <si>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</si>
  <si>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</si>
  <si>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</si>
  <si>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</si>
  <si>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</si>
  <si>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</si>
  <si>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</si>
  <si>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</si>
  <si>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</si>
  <si>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</si>
  <si>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</si>
  <si>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</si>
  <si>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</si>
  <si>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</si>
  <si>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</si>
  <si>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</si>
  <si>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</si>
  <si>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</si>
  <si>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</si>
  <si>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</si>
  <si>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</si>
  <si>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</si>
  <si>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</si>
  <si>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</si>
  <si>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</si>
  <si>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</si>
  <si>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</si>
  <si>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</si>
  <si>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</si>
  <si>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</si>
  <si>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</si>
  <si>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</si>
  <si>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</si>
  <si>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</si>
  <si>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</si>
  <si>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</si>
  <si>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</si>
  <si>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</si>
  <si>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</si>
  <si>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</si>
  <si>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</si>
  <si>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</si>
  <si>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</si>
  <si>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</si>
  <si>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</si>
  <si>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</si>
  <si>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</si>
  <si>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</si>
  <si>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</si>
  <si>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</si>
  <si>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</si>
  <si>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</si>
  <si>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</si>
  <si>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</si>
  <si>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</si>
  <si>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</si>
  <si>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</si>
  <si>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</si>
  <si>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</si>
  <si>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</si>
  <si>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</si>
  <si>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</si>
  <si>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</si>
  <si>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</si>
  <si>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</si>
  <si>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</si>
  <si>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</si>
  <si>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</si>
  <si>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</si>
  <si>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</si>
  <si>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</si>
  <si>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</si>
  <si>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</si>
  <si>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</si>
  <si>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</si>
  <si>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</si>
  <si>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</si>
  <si>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</si>
  <si>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</si>
  <si>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</si>
  <si>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</si>
  <si>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</si>
  <si>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</si>
  <si>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</si>
  <si>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</si>
  <si>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</si>
  <si>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</si>
  <si>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</si>
  <si>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</si>
  <si>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</si>
  <si>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</si>
  <si>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</si>
  <si>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</si>
  <si>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</si>
  <si>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</si>
  <si>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</si>
  <si>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</si>
  <si>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</si>
  <si>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</si>
  <si>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</si>
  <si>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</si>
  <si>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</si>
  <si>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</si>
  <si>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</si>
  <si>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</si>
  <si>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</si>
  <si>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</si>
  <si>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</si>
  <si>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</si>
  <si>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</si>
  <si>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</si>
  <si>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</si>
  <si>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</si>
  <si>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</si>
  <si>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</si>
  <si>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</si>
  <si>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</si>
  <si>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</si>
  <si>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</si>
  <si>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</si>
  <si>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</si>
  <si>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</si>
  <si>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</si>
  <si>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</si>
  <si>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</si>
  <si>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</si>
  <si>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</si>
  <si>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</si>
  <si>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</si>
  <si>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</si>
  <si>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</si>
  <si>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</si>
  <si>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</si>
  <si>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</si>
  <si>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</si>
  <si>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</si>
  <si>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</si>
  <si>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</si>
  <si>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</si>
  <si>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</si>
  <si>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</si>
  <si>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</si>
  <si>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</si>
  <si>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</si>
  <si>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</si>
  <si>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</si>
  <si>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</si>
  <si>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</si>
  <si>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</si>
  <si>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</si>
  <si>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</si>
  <si>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</si>
  <si>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</si>
  <si>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</si>
  <si>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</si>
  <si>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</si>
  <si>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</si>
  <si>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</si>
  <si>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</si>
  <si>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</si>
  <si>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</si>
  <si>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</si>
  <si>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</si>
  <si>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</si>
  <si>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</si>
  <si>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</si>
  <si>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</si>
  <si>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</si>
  <si>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</si>
  <si>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</si>
  <si>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</si>
  <si>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</si>
  <si>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</si>
  <si>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</si>
  <si>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</si>
  <si>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</si>
  <si>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</si>
  <si>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</si>
  <si>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</si>
  <si>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</si>
  <si>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</si>
  <si>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</si>
  <si>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</si>
  <si>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</si>
  <si>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</si>
  <si>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</si>
  <si>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</si>
  <si>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</si>
  <si>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</si>
  <si>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</si>
  <si>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</si>
  <si>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</si>
  <si>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</si>
  <si>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</si>
  <si>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</si>
  <si>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</si>
  <si>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</si>
  <si>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</si>
  <si>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</si>
  <si>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</si>
  <si>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</si>
  <si>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</si>
  <si>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</si>
  <si>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</si>
  <si>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</si>
  <si>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</si>
  <si>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</si>
  <si>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</si>
  <si>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</si>
  <si>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</si>
  <si>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</si>
  <si>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</si>
  <si>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</si>
  <si>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</si>
  <si>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</si>
  <si>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</si>
  <si>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</si>
  <si>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</si>
  <si>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</si>
  <si>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</si>
  <si>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</si>
  <si>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</si>
  <si>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</si>
  <si>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</si>
  <si>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</si>
  <si>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</si>
  <si>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</si>
  <si>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</si>
  <si>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</si>
  <si>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</si>
  <si>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</si>
  <si>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</si>
  <si>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</si>
  <si>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</si>
  <si>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</si>
  <si>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</si>
  <si>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</si>
  <si>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</si>
  <si>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</si>
  <si>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</si>
  <si>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</si>
  <si>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</si>
  <si>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</si>
  <si>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</si>
  <si>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</si>
  <si>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</si>
  <si>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</si>
  <si>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</si>
  <si>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</si>
  <si>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</si>
  <si>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</si>
  <si>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</si>
  <si>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</si>
  <si>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</si>
  <si>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</si>
  <si>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</si>
  <si>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</si>
  <si>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</si>
  <si>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</si>
  <si>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</si>
  <si>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</si>
  <si>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</si>
  <si>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</si>
  <si>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</si>
  <si>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</si>
  <si>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</si>
  <si>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</si>
  <si>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</si>
  <si>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</si>
  <si>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</si>
  <si>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</si>
  <si>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</si>
  <si>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</si>
  <si>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</si>
  <si>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</si>
  <si>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</si>
  <si>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</si>
  <si>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</si>
  <si>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</si>
  <si>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</si>
  <si>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</si>
  <si>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</si>
  <si>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</si>
  <si>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</si>
  <si>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</si>
  <si>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</si>
  <si>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</si>
  <si>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</si>
  <si>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</si>
  <si>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</si>
  <si>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</si>
  <si>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</si>
  <si>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</si>
  <si>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</si>
  <si>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</si>
  <si>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</si>
  <si>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</si>
  <si>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</si>
  <si>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</si>
  <si>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</si>
  <si>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</si>
  <si>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</si>
  <si>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</si>
  <si>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</si>
  <si>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</si>
  <si>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</si>
  <si>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</si>
  <si>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</si>
  <si>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</si>
  <si>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</si>
  <si>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</si>
  <si>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</si>
  <si>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</si>
  <si>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</si>
  <si>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</si>
  <si>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</si>
  <si>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</si>
  <si>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</si>
  <si>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</si>
  <si>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</si>
  <si>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</si>
  <si>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</si>
  <si>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</si>
  <si>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</si>
  <si>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</si>
  <si>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</si>
  <si>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</si>
  <si>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</si>
  <si>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</si>
  <si>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</si>
  <si>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</si>
  <si>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</si>
  <si>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</si>
  <si>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</si>
  <si>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</si>
  <si>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</si>
  <si>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</si>
  <si>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</si>
  <si>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</si>
  <si>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</si>
  <si>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</si>
  <si>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</si>
  <si>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</si>
  <si>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</si>
  <si>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</si>
  <si>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</si>
  <si>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</si>
  <si>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</si>
  <si>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</si>
  <si>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</si>
  <si>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</si>
  <si>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</si>
  <si>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</si>
  <si>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</si>
  <si>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</si>
  <si>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</si>
  <si>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</si>
  <si>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</si>
  <si>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</si>
  <si>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</si>
  <si>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</si>
  <si>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</si>
  <si>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</si>
  <si>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</si>
  <si>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</si>
  <si>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</si>
  <si>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</si>
  <si>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</si>
  <si>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</si>
  <si>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</si>
  <si>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</si>
  <si>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</si>
  <si>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</si>
  <si>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</si>
  <si>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</si>
  <si>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</si>
  <si>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</si>
  <si>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</si>
  <si>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</si>
  <si>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</si>
  <si>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</si>
  <si>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</si>
  <si>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</si>
  <si>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</si>
  <si>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</si>
  <si>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</si>
  <si>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</si>
  <si>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</si>
  <si>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</si>
  <si>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</si>
  <si>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</si>
  <si>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</si>
  <si>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</si>
  <si>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</si>
  <si>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</si>
  <si>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</si>
  <si>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</si>
  <si>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</si>
  <si>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</si>
  <si>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</si>
  <si>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</si>
  <si>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</si>
  <si>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</si>
  <si>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</si>
  <si>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</si>
  <si>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</si>
  <si>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</si>
  <si>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</si>
  <si>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</si>
  <si>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</si>
  <si>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</si>
  <si>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</si>
  <si>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</si>
  <si>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</si>
  <si>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</si>
  <si>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</si>
  <si>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</si>
  <si>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</si>
  <si>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</si>
  <si>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</si>
  <si>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</si>
  <si>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</si>
  <si>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</si>
  <si>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</si>
  <si>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</si>
  <si>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</si>
  <si>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</si>
  <si>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</si>
  <si>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</si>
  <si>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</si>
  <si>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</si>
  <si>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</si>
  <si>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</si>
  <si>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</si>
  <si>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</si>
  <si>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</si>
  <si>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</si>
  <si>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</si>
  <si>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</si>
  <si>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</si>
  <si>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</si>
  <si>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</si>
  <si>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</si>
  <si>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</si>
  <si>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</si>
  <si>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</si>
  <si>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</si>
  <si>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</si>
  <si>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</si>
  <si>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</si>
  <si>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</si>
  <si>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</si>
  <si>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</si>
  <si>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</si>
  <si>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</si>
  <si>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</si>
  <si>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</si>
  <si>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</si>
  <si>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</si>
  <si>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</si>
  <si>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</si>
  <si>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</si>
  <si>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</si>
  <si>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</si>
  <si>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</si>
  <si>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</si>
  <si>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</si>
  <si>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</si>
  <si>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</si>
  <si>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</si>
  <si>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</si>
  <si>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</si>
  <si>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</si>
  <si>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</si>
  <si>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</si>
  <si>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</si>
  <si>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</si>
  <si>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</si>
  <si>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</si>
  <si>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</si>
  <si>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</si>
  <si>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</si>
  <si>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</si>
  <si>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</si>
  <si>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</si>
  <si>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</si>
  <si>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</si>
  <si>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</si>
  <si>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</si>
  <si>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</si>
  <si>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</si>
  <si>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</si>
  <si>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</si>
  <si>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</si>
  <si>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</si>
  <si>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</si>
  <si>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</si>
  <si>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</si>
  <si>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</si>
  <si>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</si>
  <si>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</si>
  <si>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</si>
  <si>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</si>
  <si>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</si>
  <si>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</si>
  <si>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</si>
  <si>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</si>
  <si>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</si>
  <si>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</si>
  <si>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</si>
  <si>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</si>
  <si>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</si>
  <si>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</si>
  <si>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</si>
  <si>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</si>
  <si>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</si>
  <si>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</si>
  <si>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</si>
  <si>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</si>
  <si>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</si>
  <si>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</si>
  <si>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</si>
  <si>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</si>
  <si>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</si>
  <si>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</si>
  <si>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</si>
  <si>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</si>
  <si>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</si>
  <si>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</si>
  <si>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</si>
  <si>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</si>
  <si>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</si>
  <si>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</si>
  <si>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</si>
  <si>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</si>
  <si>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</si>
  <si>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</si>
  <si>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</si>
  <si>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</si>
  <si>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</si>
  <si>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</si>
  <si>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</si>
  <si>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43010</t>
  </si>
  <si>
    <t>MALDEGEM</t>
  </si>
  <si>
    <t>Paarden&amp;pony's 200 - 600 kg</t>
  </si>
  <si>
    <t>Paarden&amp;pony's &lt; 200 kg</t>
  </si>
  <si>
    <t>referentietaak LNE (2017); Jaarverslag De Lijn (2015)</t>
  </si>
  <si>
    <t>op basis van VEA (maart 2018) en Inventaris Hernieuwbare Energiebronnen (juni 2018)</t>
  </si>
  <si>
    <t>VEA (januari 2017)</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</si>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</sst>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198064.41966378415</c:v>
                </c:pt>
                <c:pt idx="1">
                  <c:v>56223.025548257719</c:v>
                </c:pt>
                <c:pt idx="2">
                  <c:v>1534.1880000000001</c:v>
                </c:pt>
                <c:pt idx="3">
                  <c:v>28337.86012491474</c:v>
                </c:pt>
                <c:pt idx="4">
                  <c:v>75706.643922418501</c:v>
                </c:pt>
                <c:pt idx="5">
                  <c:v>219446.4936462164</c:v>
                </c:pt>
                <c:pt idx="6">
                  <c:v>1499.9514027787638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198064.41966378415</c:v>
                </c:pt>
                <c:pt idx="1">
                  <c:v>56223.025548257719</c:v>
                </c:pt>
                <c:pt idx="2">
                  <c:v>1534.1880000000001</c:v>
                </c:pt>
                <c:pt idx="3">
                  <c:v>28337.86012491474</c:v>
                </c:pt>
                <c:pt idx="4">
                  <c:v>75706.643922418501</c:v>
                </c:pt>
                <c:pt idx="5">
                  <c:v>219446.4936462164</c:v>
                </c:pt>
                <c:pt idx="6">
                  <c:v>1499.9514027787638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32507.419898856791</c:v>
                </c:pt>
                <c:pt idx="1">
                  <c:v>9982.3949750574611</c:v>
                </c:pt>
                <c:pt idx="2">
                  <c:v>226.09307770662011</c:v>
                </c:pt>
                <c:pt idx="3">
                  <c:v>6816.7526867292063</c:v>
                </c:pt>
                <c:pt idx="4">
                  <c:v>11894.431542227319</c:v>
                </c:pt>
                <c:pt idx="5">
                  <c:v>56179.469566785265</c:v>
                </c:pt>
                <c:pt idx="6">
                  <c:v>388.43853033855055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79296"/>
        <c:axId val="183612160"/>
      </c:barChart>
      <c:catAx>
        <c:axId val="183479296"/>
        <c:scaling>
          <c:orientation val="minMax"/>
        </c:scaling>
        <c:axPos val="b"/>
        <c:numFmt formatCode="General" sourceLinked="0"/>
        <c:tickLblPos val="nextTo"/>
        <c:crossAx val="183612160"/>
        <c:crosses val="autoZero"/>
        <c:auto val="1"/>
        <c:lblAlgn val="ctr"/>
        <c:lblOffset val="100"/>
      </c:catAx>
      <c:valAx>
        <c:axId val="183612160"/>
        <c:scaling>
          <c:orientation val="minMax"/>
        </c:scaling>
        <c:axPos val="l"/>
        <c:majorGridlines/>
        <c:numFmt formatCode="#,##0" sourceLinked="1"/>
        <c:tickLblPos val="nextTo"/>
        <c:crossAx val="18347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32507.419898856791</c:v>
                </c:pt>
                <c:pt idx="1">
                  <c:v>9982.3949750574611</c:v>
                </c:pt>
                <c:pt idx="2">
                  <c:v>226.09307770662011</c:v>
                </c:pt>
                <c:pt idx="3">
                  <c:v>6816.7526867292063</c:v>
                </c:pt>
                <c:pt idx="4">
                  <c:v>11894.431542227319</c:v>
                </c:pt>
                <c:pt idx="5">
                  <c:v>56179.469566785265</c:v>
                </c:pt>
                <c:pt idx="6">
                  <c:v>388.43853033855055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43010</v>
      </c>
      <c r="B6" s="415"/>
      <c r="C6" s="416"/>
    </row>
    <row r="7" spans="1:7" s="413" customFormat="1" ht="15.75" customHeight="1">
      <c r="A7" s="417" t="str">
        <f>txtMunicipality</f>
        <v>MALDEGEM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22801.131182309997</v>
      </c>
      <c r="D10" s="718">
        <f ca="1">tertiair!C16</f>
        <v>0</v>
      </c>
      <c r="E10" s="718">
        <f ca="1">tertiair!D16</f>
        <v>26099.362605358896</v>
      </c>
      <c r="F10" s="718">
        <f>tertiair!E16</f>
        <v>444.55195316344742</v>
      </c>
      <c r="G10" s="718">
        <f ca="1">tertiair!F16</f>
        <v>5525.4827711510707</v>
      </c>
      <c r="H10" s="718">
        <f>tertiair!G16</f>
        <v>0</v>
      </c>
      <c r="I10" s="718">
        <f>tertiair!H16</f>
        <v>0</v>
      </c>
      <c r="J10" s="718">
        <f>tertiair!I16</f>
        <v>0</v>
      </c>
      <c r="K10" s="718">
        <f>tertiair!J16</f>
        <v>0</v>
      </c>
      <c r="L10" s="718">
        <f>tertiair!K16</f>
        <v>0</v>
      </c>
      <c r="M10" s="718">
        <f ca="1">tertiair!L16</f>
        <v>0</v>
      </c>
      <c r="N10" s="718">
        <f>tertiair!M16</f>
        <v>0</v>
      </c>
      <c r="O10" s="718">
        <f ca="1">tertiair!N16</f>
        <v>2797.9117029409636</v>
      </c>
      <c r="P10" s="718">
        <f>tertiair!O16</f>
        <v>12.506666666666668</v>
      </c>
      <c r="Q10" s="719">
        <f>tertiair!P16</f>
        <v>76.266666666666666</v>
      </c>
      <c r="R10" s="721">
        <f ca="1">SUM(C10:Q10)</f>
        <v>57757.213548257714</v>
      </c>
      <c r="S10" s="67"/>
    </row>
    <row r="11" spans="1:19" s="474" customFormat="1">
      <c r="A11" s="870" t="s">
        <v>225</v>
      </c>
      <c r="B11" s="875"/>
      <c r="C11" s="718">
        <f>huishoudens!B8</f>
        <v>43785.364310609919</v>
      </c>
      <c r="D11" s="718">
        <f>huishoudens!C8</f>
        <v>0</v>
      </c>
      <c r="E11" s="718">
        <f>huishoudens!D8</f>
        <v>86619.009678321992</v>
      </c>
      <c r="F11" s="718">
        <f>huishoudens!E8</f>
        <v>12528.21346493975</v>
      </c>
      <c r="G11" s="718">
        <f>huishoudens!F8</f>
        <v>17144.179159563071</v>
      </c>
      <c r="H11" s="718">
        <f>huishoudens!G8</f>
        <v>0</v>
      </c>
      <c r="I11" s="718">
        <f>huishoudens!H8</f>
        <v>0</v>
      </c>
      <c r="J11" s="718">
        <f>huishoudens!I8</f>
        <v>0</v>
      </c>
      <c r="K11" s="718">
        <f>huishoudens!J8</f>
        <v>3209.9899585396288</v>
      </c>
      <c r="L11" s="718">
        <f>huishoudens!K8</f>
        <v>0</v>
      </c>
      <c r="M11" s="718">
        <f>huishoudens!L8</f>
        <v>0</v>
      </c>
      <c r="N11" s="718">
        <f>huishoudens!M8</f>
        <v>0</v>
      </c>
      <c r="O11" s="718">
        <f>huishoudens!N8</f>
        <v>32713.623091809808</v>
      </c>
      <c r="P11" s="718">
        <f>huishoudens!O8</f>
        <v>481.50666666666672</v>
      </c>
      <c r="Q11" s="719">
        <f>huishoudens!P8</f>
        <v>1582.5333333333333</v>
      </c>
      <c r="R11" s="721">
        <f>SUM(C11:Q11)</f>
        <v>198064.41966378415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36553.97959984</v>
      </c>
      <c r="D13" s="718">
        <f>industrie!C18</f>
        <v>0</v>
      </c>
      <c r="E13" s="718">
        <f>industrie!D18</f>
        <v>14749.481576685899</v>
      </c>
      <c r="F13" s="718">
        <f>industrie!E18</f>
        <v>2577.2032220968686</v>
      </c>
      <c r="G13" s="718">
        <f>industrie!F18</f>
        <v>10644.823051462128</v>
      </c>
      <c r="H13" s="718">
        <f>industrie!G18</f>
        <v>0</v>
      </c>
      <c r="I13" s="718">
        <f>industrie!H18</f>
        <v>0</v>
      </c>
      <c r="J13" s="718">
        <f>industrie!I18</f>
        <v>0</v>
      </c>
      <c r="K13" s="718">
        <f>industrie!J18</f>
        <v>284.99535684463774</v>
      </c>
      <c r="L13" s="718">
        <f>industrie!K18</f>
        <v>0</v>
      </c>
      <c r="M13" s="718">
        <f>industrie!L18</f>
        <v>0</v>
      </c>
      <c r="N13" s="718">
        <f>industrie!M18</f>
        <v>0</v>
      </c>
      <c r="O13" s="718">
        <f>industrie!N18</f>
        <v>10896.161115488963</v>
      </c>
      <c r="P13" s="718">
        <f>industrie!O18</f>
        <v>0</v>
      </c>
      <c r="Q13" s="719">
        <f>industrie!P18</f>
        <v>0</v>
      </c>
      <c r="R13" s="721">
        <f>SUM(C13:Q13)</f>
        <v>75706.643922418501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103140.47509275991</v>
      </c>
      <c r="D15" s="723">
        <f t="shared" ref="D15:Q15" ca="1" si="0">SUM(D9:D14)</f>
        <v>0</v>
      </c>
      <c r="E15" s="723">
        <f t="shared" ca="1" si="0"/>
        <v>127467.85386036678</v>
      </c>
      <c r="F15" s="723">
        <f t="shared" si="0"/>
        <v>15549.968640200066</v>
      </c>
      <c r="G15" s="723">
        <f t="shared" ca="1" si="0"/>
        <v>33314.484982176269</v>
      </c>
      <c r="H15" s="723">
        <f t="shared" si="0"/>
        <v>0</v>
      </c>
      <c r="I15" s="723">
        <f t="shared" si="0"/>
        <v>0</v>
      </c>
      <c r="J15" s="723">
        <f t="shared" si="0"/>
        <v>0</v>
      </c>
      <c r="K15" s="723">
        <f t="shared" si="0"/>
        <v>3494.9853153842664</v>
      </c>
      <c r="L15" s="723">
        <f t="shared" si="0"/>
        <v>0</v>
      </c>
      <c r="M15" s="723">
        <f t="shared" ca="1" si="0"/>
        <v>0</v>
      </c>
      <c r="N15" s="723">
        <f t="shared" si="0"/>
        <v>0</v>
      </c>
      <c r="O15" s="723">
        <f t="shared" ca="1" si="0"/>
        <v>46407.69591023973</v>
      </c>
      <c r="P15" s="723">
        <f t="shared" si="0"/>
        <v>494.01333333333338</v>
      </c>
      <c r="Q15" s="724">
        <f t="shared" si="0"/>
        <v>1658.8</v>
      </c>
      <c r="R15" s="725">
        <f ca="1">SUM(R9:R14)</f>
        <v>331528.2771344604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1454.8259563241593</v>
      </c>
      <c r="I18" s="718">
        <f>transport!H54</f>
        <v>0</v>
      </c>
      <c r="J18" s="718">
        <f>transport!I54</f>
        <v>0</v>
      </c>
      <c r="K18" s="718">
        <f>transport!J54</f>
        <v>0</v>
      </c>
      <c r="L18" s="718">
        <f>transport!K54</f>
        <v>0</v>
      </c>
      <c r="M18" s="718">
        <f>transport!L54</f>
        <v>0</v>
      </c>
      <c r="N18" s="718">
        <f>transport!M54</f>
        <v>45.125446454604585</v>
      </c>
      <c r="O18" s="718">
        <f>transport!N54</f>
        <v>0</v>
      </c>
      <c r="P18" s="718">
        <f>transport!O54</f>
        <v>0</v>
      </c>
      <c r="Q18" s="719">
        <f>transport!P54</f>
        <v>0</v>
      </c>
      <c r="R18" s="721">
        <f>SUM(C18:Q18)</f>
        <v>1499.9514027787638</v>
      </c>
      <c r="S18" s="67"/>
    </row>
    <row r="19" spans="1:19" s="474" customFormat="1" ht="15" thickBot="1">
      <c r="A19" s="870" t="s">
        <v>307</v>
      </c>
      <c r="B19" s="875"/>
      <c r="C19" s="727">
        <f>transport!B14</f>
        <v>54.839286284910003</v>
      </c>
      <c r="D19" s="727">
        <f>transport!C14</f>
        <v>0</v>
      </c>
      <c r="E19" s="727">
        <f>transport!D14</f>
        <v>125.56850825413876</v>
      </c>
      <c r="F19" s="727">
        <f>transport!E14</f>
        <v>488.44373808653057</v>
      </c>
      <c r="G19" s="727">
        <f>transport!F14</f>
        <v>0</v>
      </c>
      <c r="H19" s="727">
        <f>transport!G14</f>
        <v>178375.40148556884</v>
      </c>
      <c r="I19" s="727">
        <f>transport!H14</f>
        <v>33770.739537089466</v>
      </c>
      <c r="J19" s="727">
        <f>transport!I14</f>
        <v>0</v>
      </c>
      <c r="K19" s="727">
        <f>transport!J14</f>
        <v>0</v>
      </c>
      <c r="L19" s="727">
        <f>transport!K14</f>
        <v>0</v>
      </c>
      <c r="M19" s="727">
        <f>transport!L14</f>
        <v>0</v>
      </c>
      <c r="N19" s="727">
        <f>transport!M14</f>
        <v>6631.5010909325083</v>
      </c>
      <c r="O19" s="727">
        <f>transport!N14</f>
        <v>0</v>
      </c>
      <c r="P19" s="727">
        <f>transport!O14</f>
        <v>0</v>
      </c>
      <c r="Q19" s="728">
        <f>transport!P14</f>
        <v>0</v>
      </c>
      <c r="R19" s="729">
        <f>SUM(C19:Q19)</f>
        <v>219446.4936462164</v>
      </c>
      <c r="S19" s="67"/>
    </row>
    <row r="20" spans="1:19" s="474" customFormat="1" ht="15.75" thickBot="1">
      <c r="A20" s="730" t="s">
        <v>230</v>
      </c>
      <c r="B20" s="878"/>
      <c r="C20" s="873">
        <f>SUM(C17:C19)</f>
        <v>54.839286284910003</v>
      </c>
      <c r="D20" s="731">
        <f t="shared" ref="D20:R20" si="1">SUM(D17:D19)</f>
        <v>0</v>
      </c>
      <c r="E20" s="731">
        <f t="shared" si="1"/>
        <v>125.56850825413876</v>
      </c>
      <c r="F20" s="731">
        <f t="shared" si="1"/>
        <v>488.44373808653057</v>
      </c>
      <c r="G20" s="731">
        <f t="shared" si="1"/>
        <v>0</v>
      </c>
      <c r="H20" s="731">
        <f t="shared" si="1"/>
        <v>179830.22744189302</v>
      </c>
      <c r="I20" s="731">
        <f t="shared" si="1"/>
        <v>33770.739537089466</v>
      </c>
      <c r="J20" s="731">
        <f t="shared" si="1"/>
        <v>0</v>
      </c>
      <c r="K20" s="731">
        <f t="shared" si="1"/>
        <v>0</v>
      </c>
      <c r="L20" s="731">
        <f t="shared" si="1"/>
        <v>0</v>
      </c>
      <c r="M20" s="731">
        <f t="shared" si="1"/>
        <v>0</v>
      </c>
      <c r="N20" s="731">
        <f t="shared" si="1"/>
        <v>6676.6265373871129</v>
      </c>
      <c r="O20" s="731">
        <f t="shared" si="1"/>
        <v>0</v>
      </c>
      <c r="P20" s="731">
        <f t="shared" si="1"/>
        <v>0</v>
      </c>
      <c r="Q20" s="732">
        <f t="shared" si="1"/>
        <v>0</v>
      </c>
      <c r="R20" s="733">
        <f t="shared" si="1"/>
        <v>220946.44504899517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5378.0315780799992</v>
      </c>
      <c r="D22" s="727">
        <f>+landbouw!C8</f>
        <v>62.357142857142847</v>
      </c>
      <c r="E22" s="727">
        <f>+landbouw!D8</f>
        <v>2326.8242971487798</v>
      </c>
      <c r="F22" s="727">
        <f>+landbouw!E8</f>
        <v>138.67878514478181</v>
      </c>
      <c r="G22" s="727">
        <f>+landbouw!F8</f>
        <v>19657.729614243912</v>
      </c>
      <c r="H22" s="727">
        <f>+landbouw!G8</f>
        <v>0</v>
      </c>
      <c r="I22" s="727">
        <f>+landbouw!H8</f>
        <v>0</v>
      </c>
      <c r="J22" s="727">
        <f>+landbouw!I8</f>
        <v>0</v>
      </c>
      <c r="K22" s="727">
        <f>+landbouw!J8</f>
        <v>774.23870744012345</v>
      </c>
      <c r="L22" s="727">
        <f>+landbouw!K8</f>
        <v>0</v>
      </c>
      <c r="M22" s="727">
        <f>+landbouw!L8</f>
        <v>0</v>
      </c>
      <c r="N22" s="727">
        <f>+landbouw!M8</f>
        <v>0</v>
      </c>
      <c r="O22" s="727">
        <f>+landbouw!N8</f>
        <v>0</v>
      </c>
      <c r="P22" s="727">
        <f>+landbouw!O8</f>
        <v>0</v>
      </c>
      <c r="Q22" s="728">
        <f>+landbouw!P8</f>
        <v>0</v>
      </c>
      <c r="R22" s="729">
        <f>SUM(C22:Q22)</f>
        <v>28337.86012491474</v>
      </c>
      <c r="S22" s="67"/>
    </row>
    <row r="23" spans="1:19" s="474" customFormat="1" ht="17.25" thickTop="1" thickBot="1">
      <c r="A23" s="734" t="s">
        <v>116</v>
      </c>
      <c r="B23" s="864"/>
      <c r="C23" s="735">
        <f ca="1">C20+C15+C22</f>
        <v>108573.34595712482</v>
      </c>
      <c r="D23" s="735">
        <f t="shared" ref="D23:Q23" ca="1" si="2">D20+D15+D22</f>
        <v>62.357142857142847</v>
      </c>
      <c r="E23" s="735">
        <f t="shared" ca="1" si="2"/>
        <v>129920.24666576971</v>
      </c>
      <c r="F23" s="735">
        <f t="shared" si="2"/>
        <v>16177.09116343138</v>
      </c>
      <c r="G23" s="735">
        <f t="shared" ca="1" si="2"/>
        <v>52972.214596420177</v>
      </c>
      <c r="H23" s="735">
        <f t="shared" si="2"/>
        <v>179830.22744189302</v>
      </c>
      <c r="I23" s="735">
        <f t="shared" si="2"/>
        <v>33770.739537089466</v>
      </c>
      <c r="J23" s="735">
        <f t="shared" si="2"/>
        <v>0</v>
      </c>
      <c r="K23" s="735">
        <f t="shared" si="2"/>
        <v>4269.22402282439</v>
      </c>
      <c r="L23" s="735">
        <f t="shared" si="2"/>
        <v>0</v>
      </c>
      <c r="M23" s="735">
        <f t="shared" ca="1" si="2"/>
        <v>0</v>
      </c>
      <c r="N23" s="735">
        <f t="shared" si="2"/>
        <v>6676.6265373871129</v>
      </c>
      <c r="O23" s="735">
        <f t="shared" ca="1" si="2"/>
        <v>46407.69591023973</v>
      </c>
      <c r="P23" s="735">
        <f t="shared" si="2"/>
        <v>494.01333333333338</v>
      </c>
      <c r="Q23" s="736">
        <f t="shared" si="2"/>
        <v>1658.8</v>
      </c>
      <c r="R23" s="737">
        <f ca="1">R20+R15+R22</f>
        <v>580812.58230837039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3360.1996132161462</v>
      </c>
      <c r="D36" s="718">
        <f ca="1">tertiair!C20</f>
        <v>0</v>
      </c>
      <c r="E36" s="718">
        <f ca="1">tertiair!D20</f>
        <v>5272.0712462824977</v>
      </c>
      <c r="F36" s="718">
        <f>tertiair!E20</f>
        <v>100.91329336810257</v>
      </c>
      <c r="G36" s="718">
        <f ca="1">tertiair!F20</f>
        <v>1475.3038998973359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10208.488052764082</v>
      </c>
    </row>
    <row r="37" spans="1:18">
      <c r="A37" s="885" t="s">
        <v>225</v>
      </c>
      <c r="B37" s="892"/>
      <c r="C37" s="718">
        <f ca="1">huishoudens!B12</f>
        <v>6452.6432063680577</v>
      </c>
      <c r="D37" s="718">
        <f ca="1">huishoudens!C12</f>
        <v>0</v>
      </c>
      <c r="E37" s="718">
        <f>huishoudens!D12</f>
        <v>17497.039955021042</v>
      </c>
      <c r="F37" s="718">
        <f>huishoudens!E12</f>
        <v>2843.9044565413233</v>
      </c>
      <c r="G37" s="718">
        <f>huishoudens!F12</f>
        <v>4577.4958356033403</v>
      </c>
      <c r="H37" s="718">
        <f>huishoudens!G12</f>
        <v>0</v>
      </c>
      <c r="I37" s="718">
        <f>huishoudens!H12</f>
        <v>0</v>
      </c>
      <c r="J37" s="718">
        <f>huishoudens!I12</f>
        <v>0</v>
      </c>
      <c r="K37" s="718">
        <f>huishoudens!J12</f>
        <v>1136.3364453230286</v>
      </c>
      <c r="L37" s="718">
        <f>huishoudens!K12</f>
        <v>0</v>
      </c>
      <c r="M37" s="718">
        <f>huishoudens!L12</f>
        <v>0</v>
      </c>
      <c r="N37" s="718">
        <f>huishoudens!M12</f>
        <v>0</v>
      </c>
      <c r="O37" s="718">
        <f>huishoudens!N12</f>
        <v>0</v>
      </c>
      <c r="P37" s="718">
        <f>huishoudens!O12</f>
        <v>0</v>
      </c>
      <c r="Q37" s="828">
        <f>huishoudens!P12</f>
        <v>0</v>
      </c>
      <c r="R37" s="917">
        <f ca="1">SUM(C37:Q37)</f>
        <v>32507.419898856791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5386.9550212573886</v>
      </c>
      <c r="D39" s="718">
        <f ca="1">industrie!C22</f>
        <v>0</v>
      </c>
      <c r="E39" s="718">
        <f>industrie!D22</f>
        <v>2979.3952784905518</v>
      </c>
      <c r="F39" s="718">
        <f>industrie!E22</f>
        <v>585.02513141598922</v>
      </c>
      <c r="G39" s="718">
        <f>industrie!F22</f>
        <v>2842.1677547403883</v>
      </c>
      <c r="H39" s="718">
        <f>industrie!G22</f>
        <v>0</v>
      </c>
      <c r="I39" s="718">
        <f>industrie!H22</f>
        <v>0</v>
      </c>
      <c r="J39" s="718">
        <f>industrie!I22</f>
        <v>0</v>
      </c>
      <c r="K39" s="718">
        <f>industrie!J22</f>
        <v>100.88835632300176</v>
      </c>
      <c r="L39" s="718">
        <f>industrie!K22</f>
        <v>0</v>
      </c>
      <c r="M39" s="718">
        <f>industrie!L22</f>
        <v>0</v>
      </c>
      <c r="N39" s="718">
        <f>industrie!M22</f>
        <v>0</v>
      </c>
      <c r="O39" s="718">
        <f>industrie!N22</f>
        <v>0</v>
      </c>
      <c r="P39" s="718">
        <f>industrie!O22</f>
        <v>0</v>
      </c>
      <c r="Q39" s="828">
        <f>industrie!P22</f>
        <v>0</v>
      </c>
      <c r="R39" s="918">
        <f ca="1">SUM(C39:Q39)</f>
        <v>11894.431542227319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15199.797840841593</v>
      </c>
      <c r="D41" s="763">
        <f t="shared" ref="D41:R41" ca="1" si="4">SUM(D35:D40)</f>
        <v>0</v>
      </c>
      <c r="E41" s="763">
        <f t="shared" ca="1" si="4"/>
        <v>25748.50647979409</v>
      </c>
      <c r="F41" s="763">
        <f t="shared" si="4"/>
        <v>3529.842881325415</v>
      </c>
      <c r="G41" s="763">
        <f t="shared" ca="1" si="4"/>
        <v>8894.9674902410643</v>
      </c>
      <c r="H41" s="763">
        <f t="shared" si="4"/>
        <v>0</v>
      </c>
      <c r="I41" s="763">
        <f t="shared" si="4"/>
        <v>0</v>
      </c>
      <c r="J41" s="763">
        <f t="shared" si="4"/>
        <v>0</v>
      </c>
      <c r="K41" s="763">
        <f t="shared" si="4"/>
        <v>1237.2248016460303</v>
      </c>
      <c r="L41" s="763">
        <f t="shared" si="4"/>
        <v>0</v>
      </c>
      <c r="M41" s="763">
        <f t="shared" ca="1" si="4"/>
        <v>0</v>
      </c>
      <c r="N41" s="763">
        <f t="shared" si="4"/>
        <v>0</v>
      </c>
      <c r="O41" s="763">
        <f t="shared" ca="1" si="4"/>
        <v>0</v>
      </c>
      <c r="P41" s="763">
        <f t="shared" si="4"/>
        <v>0</v>
      </c>
      <c r="Q41" s="764">
        <f t="shared" si="4"/>
        <v>0</v>
      </c>
      <c r="R41" s="765">
        <f t="shared" ca="1" si="4"/>
        <v>54610.339493848194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388.43853033855055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388.43853033855055</v>
      </c>
    </row>
    <row r="45" spans="1:18" ht="15" thickBot="1">
      <c r="A45" s="888" t="s">
        <v>307</v>
      </c>
      <c r="B45" s="898"/>
      <c r="C45" s="727">
        <f ca="1">transport!B18</f>
        <v>8.0816581901238589</v>
      </c>
      <c r="D45" s="727">
        <f>transport!C18</f>
        <v>0</v>
      </c>
      <c r="E45" s="727">
        <f>transport!D18</f>
        <v>25.364838667336031</v>
      </c>
      <c r="F45" s="727">
        <f>transport!E18</f>
        <v>110.87672854564245</v>
      </c>
      <c r="G45" s="727">
        <f>transport!F18</f>
        <v>0</v>
      </c>
      <c r="H45" s="727">
        <f>transport!G18</f>
        <v>47626.232196646881</v>
      </c>
      <c r="I45" s="727">
        <f>transport!H18</f>
        <v>8408.9141447352777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56179.469566785265</v>
      </c>
    </row>
    <row r="46" spans="1:18" ht="15.75" thickBot="1">
      <c r="A46" s="886" t="s">
        <v>230</v>
      </c>
      <c r="B46" s="899"/>
      <c r="C46" s="763">
        <f t="shared" ref="C46:R46" ca="1" si="5">SUM(C43:C45)</f>
        <v>8.0816581901238589</v>
      </c>
      <c r="D46" s="763">
        <f t="shared" ca="1" si="5"/>
        <v>0</v>
      </c>
      <c r="E46" s="763">
        <f t="shared" si="5"/>
        <v>25.364838667336031</v>
      </c>
      <c r="F46" s="763">
        <f t="shared" si="5"/>
        <v>110.87672854564245</v>
      </c>
      <c r="G46" s="763">
        <f t="shared" si="5"/>
        <v>0</v>
      </c>
      <c r="H46" s="763">
        <f t="shared" si="5"/>
        <v>48014.670726985431</v>
      </c>
      <c r="I46" s="763">
        <f t="shared" si="5"/>
        <v>8408.9141447352777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56567.908097123815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792.55978504035875</v>
      </c>
      <c r="D48" s="718">
        <f ca="1">+landbouw!C12</f>
        <v>0</v>
      </c>
      <c r="E48" s="718">
        <f>+landbouw!D12</f>
        <v>470.01850802405357</v>
      </c>
      <c r="F48" s="718">
        <f>+landbouw!E12</f>
        <v>31.480084227865472</v>
      </c>
      <c r="G48" s="718">
        <f>+landbouw!F12</f>
        <v>5248.6138070031247</v>
      </c>
      <c r="H48" s="718">
        <f>+landbouw!G12</f>
        <v>0</v>
      </c>
      <c r="I48" s="718">
        <f>+landbouw!H12</f>
        <v>0</v>
      </c>
      <c r="J48" s="718">
        <f>+landbouw!I12</f>
        <v>0</v>
      </c>
      <c r="K48" s="718">
        <f>+landbouw!J12</f>
        <v>274.0805024338037</v>
      </c>
      <c r="L48" s="718">
        <f>+landbouw!K12</f>
        <v>0</v>
      </c>
      <c r="M48" s="718">
        <f>+landbouw!L12</f>
        <v>0</v>
      </c>
      <c r="N48" s="718">
        <f>+landbouw!M12</f>
        <v>0</v>
      </c>
      <c r="O48" s="718">
        <f>+landbouw!N12</f>
        <v>0</v>
      </c>
      <c r="P48" s="718">
        <f>+landbouw!O12</f>
        <v>0</v>
      </c>
      <c r="Q48" s="719">
        <f>+landbouw!P12</f>
        <v>0</v>
      </c>
      <c r="R48" s="761">
        <f ca="1">SUM(C48:Q48)</f>
        <v>6816.7526867292063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16000.439284072076</v>
      </c>
      <c r="D53" s="773">
        <f t="shared" ref="D53:Q53" ca="1" si="6">D41+D46+D48</f>
        <v>0</v>
      </c>
      <c r="E53" s="773">
        <f t="shared" ca="1" si="6"/>
        <v>26243.889826485483</v>
      </c>
      <c r="F53" s="773">
        <f t="shared" si="6"/>
        <v>3672.1996940989229</v>
      </c>
      <c r="G53" s="773">
        <f t="shared" ca="1" si="6"/>
        <v>14143.581297244189</v>
      </c>
      <c r="H53" s="773">
        <f t="shared" si="6"/>
        <v>48014.670726985431</v>
      </c>
      <c r="I53" s="773">
        <f t="shared" si="6"/>
        <v>8408.9141447352777</v>
      </c>
      <c r="J53" s="773">
        <f t="shared" si="6"/>
        <v>0</v>
      </c>
      <c r="K53" s="773">
        <f t="shared" si="6"/>
        <v>1511.3053040798341</v>
      </c>
      <c r="L53" s="773">
        <f t="shared" si="6"/>
        <v>0</v>
      </c>
      <c r="M53" s="773">
        <f t="shared" ca="1" si="6"/>
        <v>0</v>
      </c>
      <c r="N53" s="773">
        <f t="shared" si="6"/>
        <v>0</v>
      </c>
      <c r="O53" s="773">
        <f t="shared" ca="1" si="6"/>
        <v>0</v>
      </c>
      <c r="P53" s="773">
        <f>P41+P46+P48</f>
        <v>0</v>
      </c>
      <c r="Q53" s="774">
        <f t="shared" si="6"/>
        <v>0</v>
      </c>
      <c r="R53" s="775">
        <f ca="1">R41+R46+R48</f>
        <v>117995.00027770121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0.14736986451896383</v>
      </c>
      <c r="D55" s="836">
        <f t="shared" ca="1" si="7"/>
        <v>0</v>
      </c>
      <c r="E55" s="836">
        <f t="shared" ca="1" si="7"/>
        <v>0.20200000000000001</v>
      </c>
      <c r="F55" s="836">
        <f t="shared" si="7"/>
        <v>0.22699999999999998</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28396.2168187854</v>
      </c>
      <c r="C64" s="795">
        <f>'lokale energieproductie'!B4</f>
        <v>28396.2168187854</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7733.3013823571782</v>
      </c>
      <c r="C66" s="795">
        <f>'lokale energieproductie'!B6</f>
        <v>7733.3013823571782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36173.16820114258</v>
      </c>
      <c r="C69" s="803">
        <f>SUM(C64:C68)</f>
        <v>36173.16820114258</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43785.364310609919</v>
      </c>
      <c r="C4" s="478">
        <f>huishoudens!C8</f>
        <v>0</v>
      </c>
      <c r="D4" s="478">
        <f>huishoudens!D8</f>
        <v>86619.009678321992</v>
      </c>
      <c r="E4" s="478">
        <f>huishoudens!E8</f>
        <v>12528.21346493975</v>
      </c>
      <c r="F4" s="478">
        <f>huishoudens!F8</f>
        <v>17144.179159563071</v>
      </c>
      <c r="G4" s="478">
        <f>huishoudens!G8</f>
        <v>0</v>
      </c>
      <c r="H4" s="478">
        <f>huishoudens!H8</f>
        <v>0</v>
      </c>
      <c r="I4" s="478">
        <f>huishoudens!I8</f>
        <v>0</v>
      </c>
      <c r="J4" s="478">
        <f>huishoudens!J8</f>
        <v>3209.9899585396288</v>
      </c>
      <c r="K4" s="478">
        <f>huishoudens!K8</f>
        <v>0</v>
      </c>
      <c r="L4" s="478">
        <f>huishoudens!L8</f>
        <v>0</v>
      </c>
      <c r="M4" s="478">
        <f>huishoudens!M8</f>
        <v>0</v>
      </c>
      <c r="N4" s="478">
        <f>huishoudens!N8</f>
        <v>32713.623091809808</v>
      </c>
      <c r="O4" s="478">
        <f>huishoudens!O8</f>
        <v>481.50666666666672</v>
      </c>
      <c r="P4" s="479">
        <f>huishoudens!P8</f>
        <v>1582.5333333333333</v>
      </c>
      <c r="Q4" s="480">
        <f>SUM(B4:P4)</f>
        <v>198064.41966378415</v>
      </c>
    </row>
    <row r="5" spans="1:17">
      <c r="A5" s="477" t="s">
        <v>156</v>
      </c>
      <c r="B5" s="478">
        <f ca="1">tertiair!B16</f>
        <v>21266.943182309999</v>
      </c>
      <c r="C5" s="478">
        <f ca="1">tertiair!C16</f>
        <v>0</v>
      </c>
      <c r="D5" s="478">
        <f ca="1">tertiair!D16</f>
        <v>26099.362605358896</v>
      </c>
      <c r="E5" s="478">
        <f>tertiair!E16</f>
        <v>444.55195316344742</v>
      </c>
      <c r="F5" s="478">
        <f ca="1">tertiair!F16</f>
        <v>5525.4827711510707</v>
      </c>
      <c r="G5" s="478">
        <f>tertiair!G16</f>
        <v>0</v>
      </c>
      <c r="H5" s="478">
        <f>tertiair!H16</f>
        <v>0</v>
      </c>
      <c r="I5" s="478">
        <f>tertiair!I16</f>
        <v>0</v>
      </c>
      <c r="J5" s="478">
        <f>tertiair!J16</f>
        <v>0</v>
      </c>
      <c r="K5" s="478">
        <f>tertiair!K16</f>
        <v>0</v>
      </c>
      <c r="L5" s="478">
        <f ca="1">tertiair!L16</f>
        <v>0</v>
      </c>
      <c r="M5" s="478">
        <f>tertiair!M16</f>
        <v>0</v>
      </c>
      <c r="N5" s="478">
        <f ca="1">tertiair!N16</f>
        <v>2797.9117029409636</v>
      </c>
      <c r="O5" s="478">
        <f>tertiair!O16</f>
        <v>12.506666666666668</v>
      </c>
      <c r="P5" s="479">
        <f>tertiair!P16</f>
        <v>76.266666666666666</v>
      </c>
      <c r="Q5" s="477">
        <f t="shared" ref="Q5:Q13" ca="1" si="0">SUM(B5:P5)</f>
        <v>56223.025548257719</v>
      </c>
    </row>
    <row r="6" spans="1:17">
      <c r="A6" s="477" t="s">
        <v>194</v>
      </c>
      <c r="B6" s="478">
        <f>'openbare verlichting'!B8</f>
        <v>1534.1880000000001</v>
      </c>
      <c r="C6" s="478"/>
      <c r="D6" s="478"/>
      <c r="E6" s="478"/>
      <c r="F6" s="478"/>
      <c r="G6" s="478"/>
      <c r="H6" s="478"/>
      <c r="I6" s="478"/>
      <c r="J6" s="478"/>
      <c r="K6" s="478"/>
      <c r="L6" s="478"/>
      <c r="M6" s="478"/>
      <c r="N6" s="478"/>
      <c r="O6" s="478"/>
      <c r="P6" s="479"/>
      <c r="Q6" s="477">
        <f t="shared" si="0"/>
        <v>1534.1880000000001</v>
      </c>
    </row>
    <row r="7" spans="1:17">
      <c r="A7" s="477" t="s">
        <v>112</v>
      </c>
      <c r="B7" s="478">
        <f>landbouw!B8</f>
        <v>5378.0315780799992</v>
      </c>
      <c r="C7" s="478">
        <f>landbouw!C8</f>
        <v>62.357142857142847</v>
      </c>
      <c r="D7" s="478">
        <f>landbouw!D8</f>
        <v>2326.8242971487798</v>
      </c>
      <c r="E7" s="478">
        <f>landbouw!E8</f>
        <v>138.67878514478181</v>
      </c>
      <c r="F7" s="478">
        <f>landbouw!F8</f>
        <v>19657.729614243912</v>
      </c>
      <c r="G7" s="478">
        <f>landbouw!G8</f>
        <v>0</v>
      </c>
      <c r="H7" s="478">
        <f>landbouw!H8</f>
        <v>0</v>
      </c>
      <c r="I7" s="478">
        <f>landbouw!I8</f>
        <v>0</v>
      </c>
      <c r="J7" s="478">
        <f>landbouw!J8</f>
        <v>774.23870744012345</v>
      </c>
      <c r="K7" s="478">
        <f>landbouw!K8</f>
        <v>0</v>
      </c>
      <c r="L7" s="478">
        <f>landbouw!L8</f>
        <v>0</v>
      </c>
      <c r="M7" s="478">
        <f>landbouw!M8</f>
        <v>0</v>
      </c>
      <c r="N7" s="478">
        <f>landbouw!N8</f>
        <v>0</v>
      </c>
      <c r="O7" s="478">
        <f>landbouw!O8</f>
        <v>0</v>
      </c>
      <c r="P7" s="479">
        <f>landbouw!P8</f>
        <v>0</v>
      </c>
      <c r="Q7" s="477">
        <f t="shared" si="0"/>
        <v>28337.86012491474</v>
      </c>
    </row>
    <row r="8" spans="1:17">
      <c r="A8" s="477" t="s">
        <v>638</v>
      </c>
      <c r="B8" s="478">
        <f>industrie!B18</f>
        <v>36553.97959984</v>
      </c>
      <c r="C8" s="478">
        <f>industrie!C18</f>
        <v>0</v>
      </c>
      <c r="D8" s="478">
        <f>industrie!D18</f>
        <v>14749.481576685899</v>
      </c>
      <c r="E8" s="478">
        <f>industrie!E18</f>
        <v>2577.2032220968686</v>
      </c>
      <c r="F8" s="478">
        <f>industrie!F18</f>
        <v>10644.823051462128</v>
      </c>
      <c r="G8" s="478">
        <f>industrie!G18</f>
        <v>0</v>
      </c>
      <c r="H8" s="478">
        <f>industrie!H18</f>
        <v>0</v>
      </c>
      <c r="I8" s="478">
        <f>industrie!I18</f>
        <v>0</v>
      </c>
      <c r="J8" s="478">
        <f>industrie!J18</f>
        <v>284.99535684463774</v>
      </c>
      <c r="K8" s="478">
        <f>industrie!K18</f>
        <v>0</v>
      </c>
      <c r="L8" s="478">
        <f>industrie!L18</f>
        <v>0</v>
      </c>
      <c r="M8" s="478">
        <f>industrie!M18</f>
        <v>0</v>
      </c>
      <c r="N8" s="478">
        <f>industrie!N18</f>
        <v>10896.161115488963</v>
      </c>
      <c r="O8" s="478">
        <f>industrie!O18</f>
        <v>0</v>
      </c>
      <c r="P8" s="479">
        <f>industrie!P18</f>
        <v>0</v>
      </c>
      <c r="Q8" s="477">
        <f t="shared" si="0"/>
        <v>75706.643922418501</v>
      </c>
    </row>
    <row r="9" spans="1:17" s="483" customFormat="1">
      <c r="A9" s="481" t="s">
        <v>564</v>
      </c>
      <c r="B9" s="482">
        <f>transport!B14</f>
        <v>54.839286284910003</v>
      </c>
      <c r="C9" s="482">
        <f>transport!C14</f>
        <v>0</v>
      </c>
      <c r="D9" s="482">
        <f>transport!D14</f>
        <v>125.56850825413876</v>
      </c>
      <c r="E9" s="482">
        <f>transport!E14</f>
        <v>488.44373808653057</v>
      </c>
      <c r="F9" s="482">
        <f>transport!F14</f>
        <v>0</v>
      </c>
      <c r="G9" s="482">
        <f>transport!G14</f>
        <v>178375.40148556884</v>
      </c>
      <c r="H9" s="482">
        <f>transport!H14</f>
        <v>33770.739537089466</v>
      </c>
      <c r="I9" s="482">
        <f>transport!I14</f>
        <v>0</v>
      </c>
      <c r="J9" s="482">
        <f>transport!J14</f>
        <v>0</v>
      </c>
      <c r="K9" s="482">
        <f>transport!K14</f>
        <v>0</v>
      </c>
      <c r="L9" s="482">
        <f>transport!L14</f>
        <v>0</v>
      </c>
      <c r="M9" s="482">
        <f>transport!M14</f>
        <v>6631.5010909325083</v>
      </c>
      <c r="N9" s="482">
        <f>transport!N14</f>
        <v>0</v>
      </c>
      <c r="O9" s="482">
        <f>transport!O14</f>
        <v>0</v>
      </c>
      <c r="P9" s="482">
        <f>transport!P14</f>
        <v>0</v>
      </c>
      <c r="Q9" s="481">
        <f>SUM(B9:P9)</f>
        <v>219446.4936462164</v>
      </c>
    </row>
    <row r="10" spans="1:17">
      <c r="A10" s="477" t="s">
        <v>554</v>
      </c>
      <c r="B10" s="478">
        <f>transport!B54</f>
        <v>0</v>
      </c>
      <c r="C10" s="478">
        <f>transport!C54</f>
        <v>0</v>
      </c>
      <c r="D10" s="478">
        <f>transport!D54</f>
        <v>0</v>
      </c>
      <c r="E10" s="478">
        <f>transport!E54</f>
        <v>0</v>
      </c>
      <c r="F10" s="478">
        <f>transport!F54</f>
        <v>0</v>
      </c>
      <c r="G10" s="478">
        <f>transport!G54</f>
        <v>1454.8259563241593</v>
      </c>
      <c r="H10" s="478">
        <f>transport!H54</f>
        <v>0</v>
      </c>
      <c r="I10" s="478">
        <f>transport!I54</f>
        <v>0</v>
      </c>
      <c r="J10" s="478">
        <f>transport!J54</f>
        <v>0</v>
      </c>
      <c r="K10" s="478">
        <f>transport!K54</f>
        <v>0</v>
      </c>
      <c r="L10" s="478">
        <f>transport!L54</f>
        <v>0</v>
      </c>
      <c r="M10" s="478">
        <f>transport!M54</f>
        <v>45.125446454604585</v>
      </c>
      <c r="N10" s="478">
        <f>transport!N54</f>
        <v>0</v>
      </c>
      <c r="O10" s="478">
        <f>transport!O54</f>
        <v>0</v>
      </c>
      <c r="P10" s="479">
        <f>transport!P54</f>
        <v>0</v>
      </c>
      <c r="Q10" s="477">
        <f t="shared" si="0"/>
        <v>1499.9514027787638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108573.34595712482</v>
      </c>
      <c r="C14" s="488">
        <f t="shared" ref="C14:Q14" ca="1" si="1">SUM(C4:C13)</f>
        <v>62.357142857142847</v>
      </c>
      <c r="D14" s="488">
        <f t="shared" ca="1" si="1"/>
        <v>129920.24666576971</v>
      </c>
      <c r="E14" s="488">
        <f t="shared" si="1"/>
        <v>16177.09116343138</v>
      </c>
      <c r="F14" s="488">
        <f t="shared" ca="1" si="1"/>
        <v>52972.214596420177</v>
      </c>
      <c r="G14" s="488">
        <f t="shared" si="1"/>
        <v>179830.22744189302</v>
      </c>
      <c r="H14" s="488">
        <f t="shared" si="1"/>
        <v>33770.739537089466</v>
      </c>
      <c r="I14" s="488">
        <f t="shared" si="1"/>
        <v>0</v>
      </c>
      <c r="J14" s="488">
        <f t="shared" si="1"/>
        <v>4269.22402282439</v>
      </c>
      <c r="K14" s="488">
        <f t="shared" si="1"/>
        <v>0</v>
      </c>
      <c r="L14" s="488">
        <f t="shared" ca="1" si="1"/>
        <v>0</v>
      </c>
      <c r="M14" s="488">
        <f t="shared" si="1"/>
        <v>6676.6265373871129</v>
      </c>
      <c r="N14" s="488">
        <f t="shared" ca="1" si="1"/>
        <v>46407.69591023973</v>
      </c>
      <c r="O14" s="488">
        <f t="shared" si="1"/>
        <v>494.01333333333338</v>
      </c>
      <c r="P14" s="489">
        <f t="shared" si="1"/>
        <v>1658.8</v>
      </c>
      <c r="Q14" s="489">
        <f t="shared" ca="1" si="1"/>
        <v>580812.58230837015</v>
      </c>
    </row>
    <row r="16" spans="1:17">
      <c r="A16" s="491" t="s">
        <v>559</v>
      </c>
      <c r="B16" s="841">
        <f ca="1">huishoudens!B10</f>
        <v>0.14736986451896383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6452.6432063680577</v>
      </c>
      <c r="C21" s="478">
        <f t="shared" ref="C21:C30" ca="1" si="3">C4*$C$16</f>
        <v>0</v>
      </c>
      <c r="D21" s="478">
        <f t="shared" ref="D21:D30" si="4">D4*$D$16</f>
        <v>17497.039955021042</v>
      </c>
      <c r="E21" s="478">
        <f t="shared" ref="E21:E30" si="5">E4*$E$16</f>
        <v>2843.9044565413233</v>
      </c>
      <c r="F21" s="478">
        <f t="shared" ref="F21:F30" si="6">F4*$F$16</f>
        <v>4577.4958356033403</v>
      </c>
      <c r="G21" s="478">
        <f t="shared" ref="G21:G30" si="7">G4*$G$16</f>
        <v>0</v>
      </c>
      <c r="H21" s="478">
        <f t="shared" ref="H21:H30" si="8">H4*$H$16</f>
        <v>0</v>
      </c>
      <c r="I21" s="478">
        <f t="shared" ref="I21:I30" si="9">I4*$I$16</f>
        <v>0</v>
      </c>
      <c r="J21" s="478">
        <f t="shared" ref="J21:J30" si="10">J4*$J$16</f>
        <v>1136.3364453230286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32507.419898856791</v>
      </c>
    </row>
    <row r="22" spans="1:17">
      <c r="A22" s="477" t="s">
        <v>156</v>
      </c>
      <c r="B22" s="478">
        <f t="shared" ca="1" si="2"/>
        <v>3134.1065355095261</v>
      </c>
      <c r="C22" s="478">
        <f t="shared" ca="1" si="3"/>
        <v>0</v>
      </c>
      <c r="D22" s="478">
        <f t="shared" ca="1" si="4"/>
        <v>5272.0712462824977</v>
      </c>
      <c r="E22" s="478">
        <f t="shared" si="5"/>
        <v>100.91329336810257</v>
      </c>
      <c r="F22" s="478">
        <f t="shared" ca="1" si="6"/>
        <v>1475.3038998973359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9982.3949750574611</v>
      </c>
    </row>
    <row r="23" spans="1:17">
      <c r="A23" s="477" t="s">
        <v>194</v>
      </c>
      <c r="B23" s="478">
        <f t="shared" ca="1" si="2"/>
        <v>226.09307770662011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226.09307770662011</v>
      </c>
    </row>
    <row r="24" spans="1:17">
      <c r="A24" s="477" t="s">
        <v>112</v>
      </c>
      <c r="B24" s="478">
        <f t="shared" ca="1" si="2"/>
        <v>792.55978504035875</v>
      </c>
      <c r="C24" s="478">
        <f t="shared" ca="1" si="3"/>
        <v>0</v>
      </c>
      <c r="D24" s="478">
        <f t="shared" si="4"/>
        <v>470.01850802405357</v>
      </c>
      <c r="E24" s="478">
        <f t="shared" si="5"/>
        <v>31.480084227865472</v>
      </c>
      <c r="F24" s="478">
        <f t="shared" si="6"/>
        <v>5248.6138070031247</v>
      </c>
      <c r="G24" s="478">
        <f t="shared" si="7"/>
        <v>0</v>
      </c>
      <c r="H24" s="478">
        <f t="shared" si="8"/>
        <v>0</v>
      </c>
      <c r="I24" s="478">
        <f t="shared" si="9"/>
        <v>0</v>
      </c>
      <c r="J24" s="478">
        <f t="shared" si="10"/>
        <v>274.0805024338037</v>
      </c>
      <c r="K24" s="478">
        <f t="shared" si="11"/>
        <v>0</v>
      </c>
      <c r="L24" s="478">
        <f t="shared" si="12"/>
        <v>0</v>
      </c>
      <c r="M24" s="478">
        <f t="shared" si="13"/>
        <v>0</v>
      </c>
      <c r="N24" s="478">
        <f t="shared" si="14"/>
        <v>0</v>
      </c>
      <c r="O24" s="478">
        <f t="shared" si="15"/>
        <v>0</v>
      </c>
      <c r="P24" s="479">
        <f t="shared" si="16"/>
        <v>0</v>
      </c>
      <c r="Q24" s="477">
        <f t="shared" ca="1" si="17"/>
        <v>6816.7526867292063</v>
      </c>
    </row>
    <row r="25" spans="1:17">
      <c r="A25" s="477" t="s">
        <v>638</v>
      </c>
      <c r="B25" s="478">
        <f t="shared" ca="1" si="2"/>
        <v>5386.9550212573886</v>
      </c>
      <c r="C25" s="478">
        <f t="shared" ca="1" si="3"/>
        <v>0</v>
      </c>
      <c r="D25" s="478">
        <f t="shared" si="4"/>
        <v>2979.3952784905518</v>
      </c>
      <c r="E25" s="478">
        <f t="shared" si="5"/>
        <v>585.02513141598922</v>
      </c>
      <c r="F25" s="478">
        <f t="shared" si="6"/>
        <v>2842.1677547403883</v>
      </c>
      <c r="G25" s="478">
        <f t="shared" si="7"/>
        <v>0</v>
      </c>
      <c r="H25" s="478">
        <f t="shared" si="8"/>
        <v>0</v>
      </c>
      <c r="I25" s="478">
        <f t="shared" si="9"/>
        <v>0</v>
      </c>
      <c r="J25" s="478">
        <f t="shared" si="10"/>
        <v>100.88835632300176</v>
      </c>
      <c r="K25" s="478">
        <f t="shared" si="11"/>
        <v>0</v>
      </c>
      <c r="L25" s="478">
        <f t="shared" si="12"/>
        <v>0</v>
      </c>
      <c r="M25" s="478">
        <f t="shared" si="13"/>
        <v>0</v>
      </c>
      <c r="N25" s="478">
        <f t="shared" si="14"/>
        <v>0</v>
      </c>
      <c r="O25" s="478">
        <f t="shared" si="15"/>
        <v>0</v>
      </c>
      <c r="P25" s="479">
        <f t="shared" si="16"/>
        <v>0</v>
      </c>
      <c r="Q25" s="477">
        <f t="shared" ca="1" si="17"/>
        <v>11894.431542227319</v>
      </c>
    </row>
    <row r="26" spans="1:17" s="483" customFormat="1">
      <c r="A26" s="481" t="s">
        <v>564</v>
      </c>
      <c r="B26" s="835">
        <f t="shared" ca="1" si="2"/>
        <v>8.0816581901238589</v>
      </c>
      <c r="C26" s="482">
        <f t="shared" ca="1" si="3"/>
        <v>0</v>
      </c>
      <c r="D26" s="482">
        <f t="shared" si="4"/>
        <v>25.364838667336031</v>
      </c>
      <c r="E26" s="482">
        <f t="shared" si="5"/>
        <v>110.87672854564245</v>
      </c>
      <c r="F26" s="482">
        <f t="shared" si="6"/>
        <v>0</v>
      </c>
      <c r="G26" s="482">
        <f t="shared" si="7"/>
        <v>47626.232196646881</v>
      </c>
      <c r="H26" s="482">
        <f t="shared" si="8"/>
        <v>8408.9141447352777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56179.469566785265</v>
      </c>
    </row>
    <row r="27" spans="1:17">
      <c r="A27" s="477" t="s">
        <v>554</v>
      </c>
      <c r="B27" s="478">
        <f t="shared" ca="1" si="2"/>
        <v>0</v>
      </c>
      <c r="C27" s="478">
        <f t="shared" ca="1" si="3"/>
        <v>0</v>
      </c>
      <c r="D27" s="478">
        <f t="shared" si="4"/>
        <v>0</v>
      </c>
      <c r="E27" s="478">
        <f t="shared" si="5"/>
        <v>0</v>
      </c>
      <c r="F27" s="478">
        <f t="shared" si="6"/>
        <v>0</v>
      </c>
      <c r="G27" s="478">
        <f t="shared" si="7"/>
        <v>388.43853033855055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388.43853033855055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16000.439284072076</v>
      </c>
      <c r="C31" s="488">
        <f t="shared" ca="1" si="18"/>
        <v>0</v>
      </c>
      <c r="D31" s="488">
        <f t="shared" ca="1" si="18"/>
        <v>26243.889826485483</v>
      </c>
      <c r="E31" s="488">
        <f t="shared" si="18"/>
        <v>3672.1996940989229</v>
      </c>
      <c r="F31" s="488">
        <f t="shared" ca="1" si="18"/>
        <v>14143.581297244189</v>
      </c>
      <c r="G31" s="488">
        <f t="shared" si="18"/>
        <v>48014.670726985431</v>
      </c>
      <c r="H31" s="488">
        <f t="shared" si="18"/>
        <v>8408.9141447352777</v>
      </c>
      <c r="I31" s="488">
        <f t="shared" si="18"/>
        <v>0</v>
      </c>
      <c r="J31" s="488">
        <f t="shared" si="18"/>
        <v>1511.3053040798341</v>
      </c>
      <c r="K31" s="488">
        <f t="shared" si="18"/>
        <v>0</v>
      </c>
      <c r="L31" s="488">
        <f t="shared" ca="1" si="18"/>
        <v>0</v>
      </c>
      <c r="M31" s="488">
        <f t="shared" si="18"/>
        <v>0</v>
      </c>
      <c r="N31" s="488">
        <f t="shared" ca="1" si="18"/>
        <v>0</v>
      </c>
      <c r="O31" s="488">
        <f t="shared" si="18"/>
        <v>0</v>
      </c>
      <c r="P31" s="489">
        <f t="shared" si="18"/>
        <v>0</v>
      </c>
      <c r="Q31" s="489">
        <f t="shared" ca="1" si="18"/>
        <v>117995.00027770121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0.14736986451896383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0.14736986451896383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0.14736986451896383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9860</v>
      </c>
      <c r="C9" s="342">
        <v>10006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6482.83</v>
      </c>
    </row>
    <row r="15" spans="1:6">
      <c r="A15" s="348" t="s">
        <v>184</v>
      </c>
      <c r="B15" s="334">
        <v>401</v>
      </c>
    </row>
    <row r="16" spans="1:6">
      <c r="A16" s="348" t="s">
        <v>6</v>
      </c>
      <c r="B16" s="334">
        <v>4089</v>
      </c>
    </row>
    <row r="17" spans="1:6">
      <c r="A17" s="348" t="s">
        <v>7</v>
      </c>
      <c r="B17" s="334">
        <v>2326</v>
      </c>
    </row>
    <row r="18" spans="1:6">
      <c r="A18" s="348" t="s">
        <v>8</v>
      </c>
      <c r="B18" s="334">
        <v>4213</v>
      </c>
    </row>
    <row r="19" spans="1:6">
      <c r="A19" s="348" t="s">
        <v>9</v>
      </c>
      <c r="B19" s="334">
        <v>3855</v>
      </c>
    </row>
    <row r="20" spans="1:6">
      <c r="A20" s="348" t="s">
        <v>10</v>
      </c>
      <c r="B20" s="334">
        <v>2363</v>
      </c>
    </row>
    <row r="21" spans="1:6">
      <c r="A21" s="348" t="s">
        <v>11</v>
      </c>
      <c r="B21" s="334">
        <v>13352</v>
      </c>
    </row>
    <row r="22" spans="1:6">
      <c r="A22" s="348" t="s">
        <v>12</v>
      </c>
      <c r="B22" s="334">
        <v>28576</v>
      </c>
    </row>
    <row r="23" spans="1:6">
      <c r="A23" s="348" t="s">
        <v>13</v>
      </c>
      <c r="B23" s="334">
        <v>828</v>
      </c>
    </row>
    <row r="24" spans="1:6">
      <c r="A24" s="348" t="s">
        <v>14</v>
      </c>
      <c r="B24" s="334">
        <v>30</v>
      </c>
    </row>
    <row r="25" spans="1:6">
      <c r="A25" s="348" t="s">
        <v>15</v>
      </c>
      <c r="B25" s="334">
        <v>3860</v>
      </c>
    </row>
    <row r="26" spans="1:6">
      <c r="A26" s="348" t="s">
        <v>16</v>
      </c>
      <c r="B26" s="334">
        <v>572</v>
      </c>
    </row>
    <row r="27" spans="1:6">
      <c r="A27" s="348" t="s">
        <v>17</v>
      </c>
      <c r="B27" s="334">
        <v>606</v>
      </c>
    </row>
    <row r="28" spans="1:6" s="356" customFormat="1">
      <c r="A28" s="355" t="s">
        <v>18</v>
      </c>
      <c r="B28" s="355">
        <v>70318</v>
      </c>
    </row>
    <row r="29" spans="1:6">
      <c r="A29" s="355" t="s">
        <v>812</v>
      </c>
      <c r="B29" s="355">
        <v>480</v>
      </c>
      <c r="C29" s="356"/>
      <c r="D29" s="356"/>
      <c r="E29" s="356"/>
      <c r="F29" s="356"/>
    </row>
    <row r="30" spans="1:6">
      <c r="A30" s="355" t="s">
        <v>813</v>
      </c>
      <c r="B30" s="341">
        <v>205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2742.5780479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4371079.2211999996</v>
      </c>
      <c r="E38" s="334">
        <v>8</v>
      </c>
      <c r="F38" s="334">
        <v>461093.85850999999</v>
      </c>
    </row>
    <row r="39" spans="1:6">
      <c r="A39" s="348" t="s">
        <v>30</v>
      </c>
      <c r="B39" s="348" t="s">
        <v>31</v>
      </c>
      <c r="C39" s="334">
        <v>6167</v>
      </c>
      <c r="D39" s="334">
        <v>96029944.210999995</v>
      </c>
      <c r="E39" s="334">
        <v>9275</v>
      </c>
      <c r="F39" s="334">
        <v>39487757.475000001</v>
      </c>
    </row>
    <row r="40" spans="1:6">
      <c r="A40" s="348" t="s">
        <v>30</v>
      </c>
      <c r="B40" s="348" t="s">
        <v>29</v>
      </c>
      <c r="C40" s="334">
        <v>0</v>
      </c>
      <c r="D40" s="334">
        <v>0</v>
      </c>
      <c r="E40" s="334">
        <v>0</v>
      </c>
      <c r="F40" s="334">
        <v>0</v>
      </c>
    </row>
    <row r="41" spans="1:6">
      <c r="A41" s="348" t="s">
        <v>32</v>
      </c>
      <c r="B41" s="348" t="s">
        <v>33</v>
      </c>
      <c r="C41" s="334">
        <v>133</v>
      </c>
      <c r="D41" s="334">
        <v>4446035.4632999999</v>
      </c>
      <c r="E41" s="334">
        <v>304</v>
      </c>
      <c r="F41" s="334">
        <v>4216091.0944999997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121276.04042</v>
      </c>
      <c r="E44" s="334">
        <v>36</v>
      </c>
      <c r="F44" s="334">
        <v>786895.49913999997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388690.15392999997</v>
      </c>
      <c r="E47" s="334">
        <v>4</v>
      </c>
      <c r="F47" s="334">
        <v>1323458.0469</v>
      </c>
    </row>
    <row r="48" spans="1:6">
      <c r="A48" s="348" t="s">
        <v>32</v>
      </c>
      <c r="B48" s="348" t="s">
        <v>29</v>
      </c>
      <c r="C48" s="334">
        <v>56</v>
      </c>
      <c r="D48" s="334">
        <v>3931772.0537</v>
      </c>
      <c r="E48" s="334">
        <v>89</v>
      </c>
      <c r="F48" s="334">
        <v>24225274.480999999</v>
      </c>
    </row>
    <row r="49" spans="1:6">
      <c r="A49" s="348" t="s">
        <v>32</v>
      </c>
      <c r="B49" s="348" t="s">
        <v>40</v>
      </c>
      <c r="C49" s="334">
        <v>0</v>
      </c>
      <c r="D49" s="334">
        <v>0</v>
      </c>
      <c r="E49" s="334">
        <v>0</v>
      </c>
      <c r="F49" s="334">
        <v>0</v>
      </c>
    </row>
    <row r="50" spans="1:6">
      <c r="A50" s="348" t="s">
        <v>32</v>
      </c>
      <c r="B50" s="348" t="s">
        <v>41</v>
      </c>
      <c r="C50" s="334">
        <v>20</v>
      </c>
      <c r="D50" s="334">
        <v>7464201.4291000003</v>
      </c>
      <c r="E50" s="334">
        <v>39</v>
      </c>
      <c r="F50" s="334">
        <v>6002260.4782999996</v>
      </c>
    </row>
    <row r="51" spans="1:6">
      <c r="A51" s="348" t="s">
        <v>42</v>
      </c>
      <c r="B51" s="348" t="s">
        <v>43</v>
      </c>
      <c r="C51" s="334">
        <v>17</v>
      </c>
      <c r="D51" s="334">
        <v>206785.8695</v>
      </c>
      <c r="E51" s="334">
        <v>252</v>
      </c>
      <c r="F51" s="334">
        <v>4528469.6623999998</v>
      </c>
    </row>
    <row r="52" spans="1:6">
      <c r="A52" s="348" t="s">
        <v>42</v>
      </c>
      <c r="B52" s="348" t="s">
        <v>29</v>
      </c>
      <c r="C52" s="334">
        <v>8</v>
      </c>
      <c r="D52" s="334">
        <v>163170.97049000001</v>
      </c>
      <c r="E52" s="334">
        <v>17</v>
      </c>
      <c r="F52" s="334">
        <v>849561.91567999998</v>
      </c>
    </row>
    <row r="53" spans="1:6">
      <c r="A53" s="348" t="s">
        <v>44</v>
      </c>
      <c r="B53" s="348" t="s">
        <v>45</v>
      </c>
      <c r="C53" s="334">
        <v>153</v>
      </c>
      <c r="D53" s="334">
        <v>2209670.9838999999</v>
      </c>
      <c r="E53" s="334">
        <v>344</v>
      </c>
      <c r="F53" s="334">
        <v>1390378.8259999999</v>
      </c>
    </row>
    <row r="54" spans="1:6">
      <c r="A54" s="348" t="s">
        <v>46</v>
      </c>
      <c r="B54" s="348" t="s">
        <v>47</v>
      </c>
      <c r="C54" s="334">
        <v>0</v>
      </c>
      <c r="D54" s="334">
        <v>0</v>
      </c>
      <c r="E54" s="334">
        <v>3</v>
      </c>
      <c r="F54" s="334">
        <v>1534188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2779278.3535000002</v>
      </c>
      <c r="E57" s="334">
        <v>107</v>
      </c>
      <c r="F57" s="334">
        <v>3188887.7947</v>
      </c>
    </row>
    <row r="58" spans="1:6">
      <c r="A58" s="348" t="s">
        <v>49</v>
      </c>
      <c r="B58" s="348" t="s">
        <v>51</v>
      </c>
      <c r="C58" s="334">
        <v>11</v>
      </c>
      <c r="D58" s="334">
        <v>380727.95192999998</v>
      </c>
      <c r="E58" s="334">
        <v>54</v>
      </c>
      <c r="F58" s="334">
        <v>974341.80338000006</v>
      </c>
    </row>
    <row r="59" spans="1:6">
      <c r="A59" s="348" t="s">
        <v>49</v>
      </c>
      <c r="B59" s="348" t="s">
        <v>52</v>
      </c>
      <c r="C59" s="334">
        <v>161</v>
      </c>
      <c r="D59" s="334">
        <v>6602123.2112999996</v>
      </c>
      <c r="E59" s="334">
        <v>360</v>
      </c>
      <c r="F59" s="334">
        <v>7369833.3075000001</v>
      </c>
    </row>
    <row r="60" spans="1:6">
      <c r="A60" s="348" t="s">
        <v>49</v>
      </c>
      <c r="B60" s="348" t="s">
        <v>53</v>
      </c>
      <c r="C60" s="334">
        <v>89</v>
      </c>
      <c r="D60" s="334">
        <v>5250714.3351999996</v>
      </c>
      <c r="E60" s="334">
        <v>137</v>
      </c>
      <c r="F60" s="334">
        <v>3505191.4731000001</v>
      </c>
    </row>
    <row r="61" spans="1:6">
      <c r="A61" s="348" t="s">
        <v>49</v>
      </c>
      <c r="B61" s="348" t="s">
        <v>54</v>
      </c>
      <c r="C61" s="334">
        <v>125</v>
      </c>
      <c r="D61" s="334">
        <v>3097912.7409999999</v>
      </c>
      <c r="E61" s="334">
        <v>303</v>
      </c>
      <c r="F61" s="334">
        <v>2941577.7760000001</v>
      </c>
    </row>
    <row r="62" spans="1:6">
      <c r="A62" s="348" t="s">
        <v>49</v>
      </c>
      <c r="B62" s="348" t="s">
        <v>55</v>
      </c>
      <c r="C62" s="334">
        <v>5</v>
      </c>
      <c r="D62" s="334">
        <v>455784.68602000002</v>
      </c>
      <c r="E62" s="334">
        <v>18</v>
      </c>
      <c r="F62" s="334">
        <v>337970.03672999999</v>
      </c>
    </row>
    <row r="63" spans="1:6">
      <c r="A63" s="348" t="s">
        <v>49</v>
      </c>
      <c r="B63" s="348" t="s">
        <v>29</v>
      </c>
      <c r="C63" s="334">
        <v>182</v>
      </c>
      <c r="D63" s="334">
        <v>10368450.523</v>
      </c>
      <c r="E63" s="334">
        <v>212</v>
      </c>
      <c r="F63" s="334">
        <v>2949140.9909000001</v>
      </c>
    </row>
    <row r="64" spans="1:6">
      <c r="A64" s="348" t="s">
        <v>56</v>
      </c>
      <c r="B64" s="348" t="s">
        <v>57</v>
      </c>
      <c r="C64" s="334">
        <v>0</v>
      </c>
      <c r="D64" s="334">
        <v>0</v>
      </c>
      <c r="E64" s="334">
        <v>0</v>
      </c>
      <c r="F64" s="334">
        <v>0</v>
      </c>
    </row>
    <row r="65" spans="1:6">
      <c r="A65" s="348" t="s">
        <v>56</v>
      </c>
      <c r="B65" s="348" t="s">
        <v>29</v>
      </c>
      <c r="C65" s="334">
        <v>4</v>
      </c>
      <c r="D65" s="334">
        <v>127113.82417000001</v>
      </c>
      <c r="E65" s="334">
        <v>5</v>
      </c>
      <c r="F65" s="334">
        <v>98157.540147000007</v>
      </c>
    </row>
    <row r="66" spans="1:6">
      <c r="A66" s="348" t="s">
        <v>56</v>
      </c>
      <c r="B66" s="348" t="s">
        <v>58</v>
      </c>
      <c r="C66" s="334">
        <v>0</v>
      </c>
      <c r="D66" s="334">
        <v>0</v>
      </c>
      <c r="E66" s="334">
        <v>22</v>
      </c>
      <c r="F66" s="334">
        <v>1114259.3755000001</v>
      </c>
    </row>
    <row r="67" spans="1:6">
      <c r="A67" s="355" t="s">
        <v>56</v>
      </c>
      <c r="B67" s="355" t="s">
        <v>59</v>
      </c>
      <c r="C67" s="334">
        <v>24</v>
      </c>
      <c r="D67" s="334">
        <v>2162192.9238999998</v>
      </c>
      <c r="E67" s="334">
        <v>72</v>
      </c>
      <c r="F67" s="334">
        <v>819179.16027999995</v>
      </c>
    </row>
    <row r="68" spans="1:6">
      <c r="A68" s="341" t="s">
        <v>56</v>
      </c>
      <c r="B68" s="341" t="s">
        <v>60</v>
      </c>
      <c r="C68" s="334">
        <v>7</v>
      </c>
      <c r="D68" s="334">
        <v>279376.92222000001</v>
      </c>
      <c r="E68" s="334">
        <v>18</v>
      </c>
      <c r="F68" s="334">
        <v>147349.29526000001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177005028</v>
      </c>
      <c r="E73" s="476">
        <v>199846346.66137004</v>
      </c>
    </row>
    <row r="74" spans="1:6">
      <c r="A74" s="348" t="s">
        <v>64</v>
      </c>
      <c r="B74" s="348" t="s">
        <v>667</v>
      </c>
      <c r="C74" s="1212" t="s">
        <v>669</v>
      </c>
      <c r="D74" s="476">
        <v>19615905.751091491</v>
      </c>
      <c r="E74" s="476">
        <v>20770724.499729294</v>
      </c>
    </row>
    <row r="75" spans="1:6">
      <c r="A75" s="348" t="s">
        <v>65</v>
      </c>
      <c r="B75" s="348" t="s">
        <v>666</v>
      </c>
      <c r="C75" s="1212" t="s">
        <v>670</v>
      </c>
      <c r="D75" s="476">
        <v>45571133</v>
      </c>
      <c r="E75" s="476">
        <v>51087896.762712181</v>
      </c>
    </row>
    <row r="76" spans="1:6">
      <c r="A76" s="348" t="s">
        <v>65</v>
      </c>
      <c r="B76" s="348" t="s">
        <v>667</v>
      </c>
      <c r="C76" s="1212" t="s">
        <v>671</v>
      </c>
      <c r="D76" s="476">
        <v>2359448.75109149</v>
      </c>
      <c r="E76" s="476">
        <v>2381691.752683741</v>
      </c>
    </row>
    <row r="77" spans="1:6">
      <c r="A77" s="348" t="s">
        <v>66</v>
      </c>
      <c r="B77" s="348" t="s">
        <v>666</v>
      </c>
      <c r="C77" s="1212" t="s">
        <v>672</v>
      </c>
      <c r="D77" s="476">
        <v>11444491</v>
      </c>
      <c r="E77" s="476">
        <v>12013704.009214032</v>
      </c>
    </row>
    <row r="78" spans="1:6">
      <c r="A78" s="341" t="s">
        <v>66</v>
      </c>
      <c r="B78" s="341" t="s">
        <v>667</v>
      </c>
      <c r="C78" s="341" t="s">
        <v>673</v>
      </c>
      <c r="D78" s="1213">
        <v>1904370</v>
      </c>
      <c r="E78" s="1213">
        <v>2008232.2797531392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402866.49781702034</v>
      </c>
      <c r="C83" s="476">
        <v>402866.49781702034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28396.2168187854</v>
      </c>
    </row>
    <row r="91" spans="1:6">
      <c r="A91" s="348" t="s">
        <v>68</v>
      </c>
      <c r="B91" s="334">
        <v>4297.6068356099222</v>
      </c>
    </row>
    <row r="92" spans="1:6">
      <c r="A92" s="341" t="s">
        <v>69</v>
      </c>
      <c r="B92" s="342">
        <v>3435.6945467472565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65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243</v>
      </c>
    </row>
    <row r="130" spans="1:6">
      <c r="A130" s="348" t="s">
        <v>295</v>
      </c>
      <c r="B130" s="334">
        <v>8</v>
      </c>
    </row>
    <row r="131" spans="1:6">
      <c r="A131" s="348" t="s">
        <v>296</v>
      </c>
      <c r="B131" s="334">
        <v>4</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108573.34595712482</v>
      </c>
      <c r="C3" s="43" t="s">
        <v>170</v>
      </c>
      <c r="D3" s="43"/>
      <c r="E3" s="154"/>
      <c r="F3" s="43"/>
      <c r="G3" s="43"/>
      <c r="H3" s="43"/>
      <c r="I3" s="43"/>
      <c r="J3" s="43"/>
      <c r="K3" s="96"/>
    </row>
    <row r="4" spans="1:11">
      <c r="A4" s="383" t="s">
        <v>171</v>
      </c>
      <c r="B4" s="49">
        <f>IF(ISERROR('SEAP template'!B69),0,'SEAP template'!B69)</f>
        <v>36173.16820114258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0.14736986451896383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1534.1880000000001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1534.1880000000001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0.14736986451896383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226.09307770662011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39487.757474999999</v>
      </c>
      <c r="C5" s="17">
        <f>IF(ISERROR('Eigen informatie GS &amp; warmtenet'!B57),0,'Eigen informatie GS &amp; warmtenet'!B57)</f>
        <v>0</v>
      </c>
      <c r="D5" s="30">
        <f>(SUM(HH_hh_gas_kWh,HH_rest_gas_kWh)/1000)*0.902</f>
        <v>86619.009678321992</v>
      </c>
      <c r="E5" s="17">
        <f>B46*B57</f>
        <v>12528.21346493975</v>
      </c>
      <c r="F5" s="17">
        <f>B51*B62</f>
        <v>17144.179159563071</v>
      </c>
      <c r="G5" s="18"/>
      <c r="H5" s="17"/>
      <c r="I5" s="17"/>
      <c r="J5" s="17">
        <f>B50*B61+C50*C61</f>
        <v>3209.9899585396288</v>
      </c>
      <c r="K5" s="17"/>
      <c r="L5" s="17"/>
      <c r="M5" s="17"/>
      <c r="N5" s="17">
        <f>B48*B59+C48*C59</f>
        <v>32713.623091809808</v>
      </c>
      <c r="O5" s="17">
        <f>B69*B70*B71</f>
        <v>481.50666666666672</v>
      </c>
      <c r="P5" s="17">
        <f>B77*B78*B79/1000-B77*B78*B79/1000/B80</f>
        <v>1582.5333333333333</v>
      </c>
    </row>
    <row r="6" spans="1:16">
      <c r="A6" s="16" t="s">
        <v>624</v>
      </c>
      <c r="B6" s="843">
        <f>kWh_PV_kleiner_dan_10kW</f>
        <v>4297.6068356099222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43785.364310609919</v>
      </c>
      <c r="C8" s="21">
        <f>C5</f>
        <v>0</v>
      </c>
      <c r="D8" s="21">
        <f>D5</f>
        <v>86619.009678321992</v>
      </c>
      <c r="E8" s="21">
        <f>E5</f>
        <v>12528.21346493975</v>
      </c>
      <c r="F8" s="21">
        <f>F5</f>
        <v>17144.179159563071</v>
      </c>
      <c r="G8" s="21"/>
      <c r="H8" s="21"/>
      <c r="I8" s="21"/>
      <c r="J8" s="21">
        <f>J5</f>
        <v>3209.9899585396288</v>
      </c>
      <c r="K8" s="21"/>
      <c r="L8" s="21">
        <f>L5</f>
        <v>0</v>
      </c>
      <c r="M8" s="21">
        <f>M5</f>
        <v>0</v>
      </c>
      <c r="N8" s="21">
        <f>N5</f>
        <v>32713.623091809808</v>
      </c>
      <c r="O8" s="21">
        <f>O5</f>
        <v>481.50666666666672</v>
      </c>
      <c r="P8" s="21">
        <f>P5</f>
        <v>1582.5333333333333</v>
      </c>
    </row>
    <row r="9" spans="1:16">
      <c r="B9" s="19"/>
      <c r="C9" s="19"/>
      <c r="D9" s="258"/>
      <c r="E9" s="19"/>
      <c r="F9" s="19"/>
      <c r="G9" s="19"/>
      <c r="H9" s="19"/>
      <c r="I9" s="19"/>
      <c r="J9" s="19"/>
      <c r="K9" s="19"/>
      <c r="L9" s="19"/>
      <c r="M9" s="19"/>
      <c r="N9" s="19"/>
      <c r="O9" s="19"/>
      <c r="P9" s="19"/>
    </row>
    <row r="10" spans="1:16">
      <c r="A10" s="24" t="s">
        <v>214</v>
      </c>
      <c r="B10" s="25">
        <f ca="1">'EF ele_warmte'!B12</f>
        <v>0.14736986451896383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6452.6432063680577</v>
      </c>
      <c r="C12" s="23">
        <f ca="1">C10*C8</f>
        <v>0</v>
      </c>
      <c r="D12" s="23">
        <f>D8*D10</f>
        <v>17497.039955021042</v>
      </c>
      <c r="E12" s="23">
        <f>E10*E8</f>
        <v>2843.9044565413233</v>
      </c>
      <c r="F12" s="23">
        <f>F10*F8</f>
        <v>4577.4958356033403</v>
      </c>
      <c r="G12" s="23"/>
      <c r="H12" s="23"/>
      <c r="I12" s="23"/>
      <c r="J12" s="23">
        <f>J10*J8</f>
        <v>1136.3364453230286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698</v>
      </c>
      <c r="B28" s="37">
        <f>aantalHuishoudens2011</f>
        <v>9860</v>
      </c>
      <c r="C28" s="36"/>
      <c r="D28" s="228"/>
    </row>
    <row r="29" spans="1:7" s="15" customFormat="1">
      <c r="A29" s="230" t="s">
        <v>699</v>
      </c>
      <c r="B29" s="37">
        <f>SUM(HH_hh_gas_aantal,HH_rest_gas_aantal)</f>
        <v>6167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6167</v>
      </c>
      <c r="C32" s="167">
        <f>IF(ISERROR(B32/SUM($B$32,$B$34,$B$35,$B$36,$B$38,$B$39)*100),0,B32/SUM($B$32,$B$34,$B$35,$B$36,$B$38,$B$39)*100)</f>
        <v>63.076608366574618</v>
      </c>
      <c r="D32" s="233"/>
      <c r="G32" s="15"/>
    </row>
    <row r="33" spans="1:7">
      <c r="A33" s="171" t="s">
        <v>72</v>
      </c>
      <c r="B33" s="34" t="s">
        <v>111</v>
      </c>
      <c r="C33" s="167"/>
      <c r="D33" s="233"/>
      <c r="G33" s="15"/>
    </row>
    <row r="34" spans="1:7">
      <c r="A34" s="171" t="s">
        <v>73</v>
      </c>
      <c r="B34" s="33">
        <f>IF((($B$28-$B$32-$B$39-$B$77-$B$38)*C20/100)&lt;0,0,($B$28-$B$32-$B$39-$B$77-$B$38)*C20/100)</f>
        <v>553.90731354091247</v>
      </c>
      <c r="C34" s="167">
        <f>IF(ISERROR(B34/SUM($B$32,$B$34,$B$35,$B$36,$B$38,$B$39)*100),0,B34/SUM($B$32,$B$34,$B$35,$B$36,$B$38,$B$39)*100)</f>
        <v>5.6654118189722045</v>
      </c>
      <c r="D34" s="233"/>
      <c r="G34" s="15"/>
    </row>
    <row r="35" spans="1:7">
      <c r="A35" s="171" t="s">
        <v>74</v>
      </c>
      <c r="B35" s="33">
        <f>IF((($B$28-$B$32-$B$39-$B$77-$B$38)*C21/100)&lt;0,0,($B$28-$B$32-$B$39-$B$77-$B$38)*C21/100)</f>
        <v>1738.8225923244029</v>
      </c>
      <c r="C35" s="167">
        <f>IF(ISERROR(B35/SUM($B$32,$B$34,$B$35,$B$36,$B$38,$B$39)*100),0,B35/SUM($B$32,$B$34,$B$35,$B$36,$B$38,$B$39)*100)</f>
        <v>17.784827578238751</v>
      </c>
      <c r="D35" s="233"/>
      <c r="G35" s="15"/>
    </row>
    <row r="36" spans="1:7">
      <c r="A36" s="171" t="s">
        <v>75</v>
      </c>
      <c r="B36" s="33">
        <f>IF((($B$28-$B$32-$B$39-$B$77-$B$38)*C22/100)&lt;0,0,($B$28-$B$32-$B$39-$B$77-$B$38)*C22/100)</f>
        <v>509.27009413468511</v>
      </c>
      <c r="C36" s="167">
        <f>IF(ISERROR(B36/SUM($B$32,$B$34,$B$35,$B$36,$B$38,$B$39)*100),0,B36/SUM($B$32,$B$34,$B$35,$B$36,$B$38,$B$39)*100)</f>
        <v>5.2088584855751776</v>
      </c>
      <c r="D36" s="233"/>
      <c r="G36" s="15"/>
    </row>
    <row r="37" spans="1:7">
      <c r="A37" s="171" t="s">
        <v>76</v>
      </c>
      <c r="B37" s="34" t="s">
        <v>111</v>
      </c>
      <c r="C37" s="167"/>
      <c r="D37" s="173"/>
      <c r="G37" s="15"/>
    </row>
    <row r="38" spans="1:7">
      <c r="A38" s="171" t="s">
        <v>77</v>
      </c>
      <c r="B38" s="33">
        <f>IF((B24-(B29-B18)*0.1)&lt;0,0,B24-(B29-B18)*0.1)</f>
        <v>103.69999999999999</v>
      </c>
      <c r="C38" s="167">
        <f>IF(ISERROR(B38/SUM($B$32,$B$34,$B$35,$B$36,$B$38,$B$39)*100),0,B38/SUM($B$32,$B$34,$B$35,$B$36,$B$38,$B$39)*100)</f>
        <v>1.060652551907538</v>
      </c>
      <c r="D38" s="234"/>
      <c r="G38" s="15"/>
    </row>
    <row r="39" spans="1:7">
      <c r="A39" s="171" t="s">
        <v>78</v>
      </c>
      <c r="B39" s="33">
        <f>IF((B25-(B29-B18))&lt;0,0,B25-(B29-B18)*0.9)</f>
        <v>704.29999999999973</v>
      </c>
      <c r="C39" s="167">
        <f>IF(ISERROR(B39/SUM($B$32,$B$34,$B$35,$B$36,$B$38,$B$39)*100),0,B39/SUM($B$32,$B$34,$B$35,$B$36,$B$38,$B$39)*100)</f>
        <v>7.2036411987317139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6167</v>
      </c>
      <c r="C44" s="34" t="s">
        <v>111</v>
      </c>
      <c r="D44" s="174"/>
    </row>
    <row r="45" spans="1:7">
      <c r="A45" s="171" t="s">
        <v>72</v>
      </c>
      <c r="B45" s="33" t="str">
        <f t="shared" si="0"/>
        <v>-</v>
      </c>
      <c r="C45" s="34" t="s">
        <v>111</v>
      </c>
      <c r="D45" s="174"/>
    </row>
    <row r="46" spans="1:7">
      <c r="A46" s="171" t="s">
        <v>73</v>
      </c>
      <c r="B46" s="33">
        <f t="shared" si="0"/>
        <v>553.90731354091247</v>
      </c>
      <c r="C46" s="34" t="s">
        <v>111</v>
      </c>
      <c r="D46" s="174"/>
    </row>
    <row r="47" spans="1:7">
      <c r="A47" s="171" t="s">
        <v>74</v>
      </c>
      <c r="B47" s="33">
        <f t="shared" si="0"/>
        <v>1738.8225923244029</v>
      </c>
      <c r="C47" s="34" t="s">
        <v>111</v>
      </c>
      <c r="D47" s="174"/>
    </row>
    <row r="48" spans="1:7">
      <c r="A48" s="171" t="s">
        <v>75</v>
      </c>
      <c r="B48" s="33">
        <f t="shared" si="0"/>
        <v>509.27009413468511</v>
      </c>
      <c r="C48" s="33">
        <f>B48*10</f>
        <v>5092.7009413468513</v>
      </c>
      <c r="D48" s="234"/>
    </row>
    <row r="49" spans="1:6">
      <c r="A49" s="171" t="s">
        <v>76</v>
      </c>
      <c r="B49" s="33" t="str">
        <f t="shared" si="0"/>
        <v>-</v>
      </c>
      <c r="C49" s="34" t="s">
        <v>111</v>
      </c>
      <c r="D49" s="234"/>
    </row>
    <row r="50" spans="1:6">
      <c r="A50" s="171" t="s">
        <v>77</v>
      </c>
      <c r="B50" s="33">
        <f t="shared" si="0"/>
        <v>103.69999999999999</v>
      </c>
      <c r="C50" s="33">
        <f>B50*2</f>
        <v>207.39999999999998</v>
      </c>
      <c r="D50" s="234"/>
    </row>
    <row r="51" spans="1:6">
      <c r="A51" s="171" t="s">
        <v>78</v>
      </c>
      <c r="B51" s="33">
        <f t="shared" si="0"/>
        <v>704.29999999999973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21266.943182309999</v>
      </c>
      <c r="C5" s="17">
        <f>IF(ISERROR('Eigen informatie GS &amp; warmtenet'!B58),0,'Eigen informatie GS &amp; warmtenet'!B58)</f>
        <v>0</v>
      </c>
      <c r="D5" s="30">
        <f>SUM(D6:D12)</f>
        <v>26099.362605358896</v>
      </c>
      <c r="E5" s="17">
        <f>SUM(E6:E12)</f>
        <v>444.55195316344742</v>
      </c>
      <c r="F5" s="17">
        <f>SUM(F6:F12)</f>
        <v>5525.4827711510707</v>
      </c>
      <c r="G5" s="18"/>
      <c r="H5" s="17"/>
      <c r="I5" s="17"/>
      <c r="J5" s="17">
        <f>SUM(J6:J12)</f>
        <v>0</v>
      </c>
      <c r="K5" s="17"/>
      <c r="L5" s="17"/>
      <c r="M5" s="17"/>
      <c r="N5" s="17">
        <f>SUM(N6:N12)</f>
        <v>2797.9117029409636</v>
      </c>
      <c r="O5" s="17">
        <f>B38*B39*B40</f>
        <v>12.506666666666668</v>
      </c>
      <c r="P5" s="17">
        <f>B46*B47*B48/1000-B46*B47*B48/1000/B49</f>
        <v>76.266666666666666</v>
      </c>
      <c r="R5" s="32"/>
    </row>
    <row r="6" spans="1:18">
      <c r="A6" s="32" t="s">
        <v>54</v>
      </c>
      <c r="B6" s="37">
        <f>B26</f>
        <v>2941.5777760000001</v>
      </c>
      <c r="C6" s="33"/>
      <c r="D6" s="37">
        <f>IF(ISERROR(TER_kantoor_gas_kWh/1000),0,TER_kantoor_gas_kWh/1000)*0.902</f>
        <v>2794.3172923820002</v>
      </c>
      <c r="E6" s="33">
        <f>$C$26*'E Balans VL '!I12/100/3.6*1000000</f>
        <v>38.508876586238181</v>
      </c>
      <c r="F6" s="33">
        <f>$C$26*('E Balans VL '!L12+'E Balans VL '!N12)/100/3.6*1000000</f>
        <v>750.0719357507445</v>
      </c>
      <c r="G6" s="34"/>
      <c r="H6" s="33"/>
      <c r="I6" s="33"/>
      <c r="J6" s="33">
        <f>$C$26*('E Balans VL '!D12+'E Balans VL '!E12)/100/3.6*1000000</f>
        <v>0</v>
      </c>
      <c r="K6" s="33"/>
      <c r="L6" s="33"/>
      <c r="M6" s="33"/>
      <c r="N6" s="33">
        <f>$C$26*'E Balans VL '!Y12/100/3.6*1000000</f>
        <v>2.95148338160151</v>
      </c>
      <c r="O6" s="33"/>
      <c r="P6" s="33"/>
      <c r="R6" s="32"/>
    </row>
    <row r="7" spans="1:18">
      <c r="A7" s="32" t="s">
        <v>53</v>
      </c>
      <c r="B7" s="37">
        <f t="shared" ref="B7:B12" si="0">B27</f>
        <v>3505.1914731000002</v>
      </c>
      <c r="C7" s="33"/>
      <c r="D7" s="37">
        <f>IF(ISERROR(TER_horeca_gas_kWh/1000),0,TER_horeca_gas_kWh/1000)*0.902</f>
        <v>4736.1443303503993</v>
      </c>
      <c r="E7" s="33">
        <f>$C$27*'E Balans VL '!I9/100/3.6*1000000</f>
        <v>116.00051639512436</v>
      </c>
      <c r="F7" s="33">
        <f>$C$27*('E Balans VL '!L9+'E Balans VL '!N9)/100/3.6*1000000</f>
        <v>1507.2188999120963</v>
      </c>
      <c r="G7" s="34"/>
      <c r="H7" s="33"/>
      <c r="I7" s="33"/>
      <c r="J7" s="33">
        <f>$C$27*('E Balans VL '!D9+'E Balans VL '!E9)/100/3.6*1000000</f>
        <v>0</v>
      </c>
      <c r="K7" s="33"/>
      <c r="L7" s="33"/>
      <c r="M7" s="33"/>
      <c r="N7" s="33">
        <f>$C$27*'E Balans VL '!Y9/100/3.6*1000000</f>
        <v>0.84375048854127621</v>
      </c>
      <c r="O7" s="33"/>
      <c r="P7" s="33"/>
      <c r="R7" s="32"/>
    </row>
    <row r="8" spans="1:18">
      <c r="A8" s="6" t="s">
        <v>52</v>
      </c>
      <c r="B8" s="37">
        <f t="shared" si="0"/>
        <v>7369.8333075</v>
      </c>
      <c r="C8" s="33"/>
      <c r="D8" s="37">
        <f>IF(ISERROR(TER_handel_gas_kWh/1000),0,TER_handel_gas_kWh/1000)*0.902</f>
        <v>5955.1151365925998</v>
      </c>
      <c r="E8" s="33">
        <f>$C$28*'E Balans VL '!I13/100/3.6*1000000</f>
        <v>232.60319995479924</v>
      </c>
      <c r="F8" s="33">
        <f>$C$28*('E Balans VL '!L13+'E Balans VL '!N13)/100/3.6*1000000</f>
        <v>1445.3540863081669</v>
      </c>
      <c r="G8" s="34"/>
      <c r="H8" s="33"/>
      <c r="I8" s="33"/>
      <c r="J8" s="33">
        <f>$C$28*('E Balans VL '!D13+'E Balans VL '!E13)/100/3.6*1000000</f>
        <v>0</v>
      </c>
      <c r="K8" s="33"/>
      <c r="L8" s="33"/>
      <c r="M8" s="33"/>
      <c r="N8" s="33">
        <f>$C$28*'E Balans VL '!Y13/100/3.6*1000000</f>
        <v>8.7465613004314537</v>
      </c>
      <c r="O8" s="33"/>
      <c r="P8" s="33"/>
      <c r="R8" s="32"/>
    </row>
    <row r="9" spans="1:18">
      <c r="A9" s="32" t="s">
        <v>51</v>
      </c>
      <c r="B9" s="37">
        <f t="shared" si="0"/>
        <v>974.3418033800001</v>
      </c>
      <c r="C9" s="33"/>
      <c r="D9" s="37">
        <f>IF(ISERROR(TER_gezond_gas_kWh/1000),0,TER_gezond_gas_kWh/1000)*0.902</f>
        <v>343.41661264085997</v>
      </c>
      <c r="E9" s="33">
        <f>$C$29*'E Balans VL '!I10/100/3.6*1000000</f>
        <v>0.12474425456965339</v>
      </c>
      <c r="F9" s="33">
        <f>$C$29*('E Balans VL '!L10+'E Balans VL '!N10)/100/3.6*1000000</f>
        <v>202.99623605160343</v>
      </c>
      <c r="G9" s="34"/>
      <c r="H9" s="33"/>
      <c r="I9" s="33"/>
      <c r="J9" s="33">
        <f>$C$29*('E Balans VL '!D10+'E Balans VL '!E10)/100/3.6*1000000</f>
        <v>0</v>
      </c>
      <c r="K9" s="33"/>
      <c r="L9" s="33"/>
      <c r="M9" s="33"/>
      <c r="N9" s="33">
        <f>$C$29*'E Balans VL '!Y10/100/3.6*1000000</f>
        <v>11.444105015178923</v>
      </c>
      <c r="O9" s="33"/>
      <c r="P9" s="33"/>
      <c r="R9" s="32"/>
    </row>
    <row r="10" spans="1:18">
      <c r="A10" s="32" t="s">
        <v>50</v>
      </c>
      <c r="B10" s="37">
        <f t="shared" si="0"/>
        <v>3188.8877947000001</v>
      </c>
      <c r="C10" s="33"/>
      <c r="D10" s="37">
        <f>IF(ISERROR(TER_ander_gas_kWh/1000),0,TER_ander_gas_kWh/1000)*0.902</f>
        <v>2506.9090748570002</v>
      </c>
      <c r="E10" s="33">
        <f>$C$30*'E Balans VL '!I14/100/3.6*1000000</f>
        <v>4.7953373265557477</v>
      </c>
      <c r="F10" s="33">
        <f>$C$30*('E Balans VL '!L14+'E Balans VL '!N14)/100/3.6*1000000</f>
        <v>704.00363255685943</v>
      </c>
      <c r="G10" s="34"/>
      <c r="H10" s="33"/>
      <c r="I10" s="33"/>
      <c r="J10" s="33">
        <f>$C$30*('E Balans VL '!D14+'E Balans VL '!E14)/100/3.6*1000000</f>
        <v>0</v>
      </c>
      <c r="K10" s="33"/>
      <c r="L10" s="33"/>
      <c r="M10" s="33"/>
      <c r="N10" s="33">
        <f>$C$30*'E Balans VL '!Y14/100/3.6*1000000</f>
        <v>2513.0581862808053</v>
      </c>
      <c r="O10" s="33"/>
      <c r="P10" s="33"/>
      <c r="R10" s="32"/>
    </row>
    <row r="11" spans="1:18">
      <c r="A11" s="32" t="s">
        <v>55</v>
      </c>
      <c r="B11" s="37">
        <f t="shared" si="0"/>
        <v>337.97003673</v>
      </c>
      <c r="C11" s="33"/>
      <c r="D11" s="37">
        <f>IF(ISERROR(TER_onderwijs_gas_kWh/1000),0,TER_onderwijs_gas_kWh/1000)*0.902</f>
        <v>411.11778679004004</v>
      </c>
      <c r="E11" s="33">
        <f>$C$31*'E Balans VL '!I11/100/3.6*1000000</f>
        <v>0.59519355647270966</v>
      </c>
      <c r="F11" s="33">
        <f>$C$31*('E Balans VL '!L11+'E Balans VL '!N11)/100/3.6*1000000</f>
        <v>156.04688151594092</v>
      </c>
      <c r="G11" s="34"/>
      <c r="H11" s="33"/>
      <c r="I11" s="33"/>
      <c r="J11" s="33">
        <f>$C$31*('E Balans VL '!D11+'E Balans VL '!E11)/100/3.6*1000000</f>
        <v>0</v>
      </c>
      <c r="K11" s="33"/>
      <c r="L11" s="33"/>
      <c r="M11" s="33"/>
      <c r="N11" s="33">
        <f>$C$31*'E Balans VL '!Y11/100/3.6*1000000</f>
        <v>0.62964285214083882</v>
      </c>
      <c r="O11" s="33"/>
      <c r="P11" s="33"/>
      <c r="R11" s="32"/>
    </row>
    <row r="12" spans="1:18">
      <c r="A12" s="32" t="s">
        <v>260</v>
      </c>
      <c r="B12" s="37">
        <f t="shared" si="0"/>
        <v>2949.1409908999999</v>
      </c>
      <c r="C12" s="33"/>
      <c r="D12" s="37">
        <f>IF(ISERROR(TER_rest_gas_kWh/1000),0,TER_rest_gas_kWh/1000)*0.902</f>
        <v>9352.3423717459991</v>
      </c>
      <c r="E12" s="33">
        <f>$C$32*'E Balans VL '!I8/100/3.6*1000000</f>
        <v>51.924085089687537</v>
      </c>
      <c r="F12" s="33">
        <f>$C$32*('E Balans VL '!L8+'E Balans VL '!N8)/100/3.6*1000000</f>
        <v>759.79109905565895</v>
      </c>
      <c r="G12" s="34"/>
      <c r="H12" s="33"/>
      <c r="I12" s="33"/>
      <c r="J12" s="33">
        <f>$C$32*('E Balans VL '!D8+'E Balans VL '!E8)/100/3.6*1000000</f>
        <v>0</v>
      </c>
      <c r="K12" s="33"/>
      <c r="L12" s="33"/>
      <c r="M12" s="33"/>
      <c r="N12" s="33">
        <f>$C$32*'E Balans VL '!Y8/100/3.6*1000000</f>
        <v>260.23797362226406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21266.943182309999</v>
      </c>
      <c r="C16" s="21">
        <f t="shared" ca="1" si="1"/>
        <v>0</v>
      </c>
      <c r="D16" s="21">
        <f t="shared" ca="1" si="1"/>
        <v>26099.362605358896</v>
      </c>
      <c r="E16" s="21">
        <f t="shared" si="1"/>
        <v>444.55195316344742</v>
      </c>
      <c r="F16" s="21">
        <f t="shared" ca="1" si="1"/>
        <v>5525.4827711510707</v>
      </c>
      <c r="G16" s="21">
        <f t="shared" si="1"/>
        <v>0</v>
      </c>
      <c r="H16" s="21">
        <f t="shared" si="1"/>
        <v>0</v>
      </c>
      <c r="I16" s="21">
        <f t="shared" si="1"/>
        <v>0</v>
      </c>
      <c r="J16" s="21">
        <f t="shared" si="1"/>
        <v>0</v>
      </c>
      <c r="K16" s="21">
        <f t="shared" si="1"/>
        <v>0</v>
      </c>
      <c r="L16" s="21">
        <f t="shared" ca="1" si="1"/>
        <v>0</v>
      </c>
      <c r="M16" s="21">
        <f t="shared" si="1"/>
        <v>0</v>
      </c>
      <c r="N16" s="21">
        <f t="shared" ca="1" si="1"/>
        <v>2797.9117029409636</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0.14736986451896383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3134.1065355095261</v>
      </c>
      <c r="C20" s="23">
        <f t="shared" ref="C20:P20" ca="1" si="2">C16*C18</f>
        <v>0</v>
      </c>
      <c r="D20" s="23">
        <f t="shared" ca="1" si="2"/>
        <v>5272.0712462824977</v>
      </c>
      <c r="E20" s="23">
        <f t="shared" si="2"/>
        <v>100.91329336810257</v>
      </c>
      <c r="F20" s="23">
        <f t="shared" ca="1" si="2"/>
        <v>1475.3038998973359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2941.5777760000001</v>
      </c>
      <c r="C26" s="39">
        <f>IF(ISERROR(B26*3.6/1000000/'E Balans VL '!Z12*100),0,B26*3.6/1000000/'E Balans VL '!Z12*100)</f>
        <v>6.301088118470867E-2</v>
      </c>
      <c r="D26" s="237" t="s">
        <v>660</v>
      </c>
      <c r="F26" s="6"/>
    </row>
    <row r="27" spans="1:18">
      <c r="A27" s="231" t="s">
        <v>53</v>
      </c>
      <c r="B27" s="33">
        <f>IF(ISERROR(TER_horeca_ele_kWh/1000),0,TER_horeca_ele_kWh/1000)</f>
        <v>3505.1914731000002</v>
      </c>
      <c r="C27" s="39">
        <f>IF(ISERROR(B27*3.6/1000000/'E Balans VL '!Z9*100),0,B27*3.6/1000000/'E Balans VL '!Z9*100)</f>
        <v>0.28127943179507781</v>
      </c>
      <c r="D27" s="237" t="s">
        <v>660</v>
      </c>
      <c r="F27" s="6"/>
    </row>
    <row r="28" spans="1:18">
      <c r="A28" s="171" t="s">
        <v>52</v>
      </c>
      <c r="B28" s="33">
        <f>IF(ISERROR(TER_handel_ele_kWh/1000),0,TER_handel_ele_kWh/1000)</f>
        <v>7369.8333075</v>
      </c>
      <c r="C28" s="39">
        <f>IF(ISERROR(B28*3.6/1000000/'E Balans VL '!Z13*100),0,B28*3.6/1000000/'E Balans VL '!Z13*100)</f>
        <v>0.21736781089347845</v>
      </c>
      <c r="D28" s="237" t="s">
        <v>660</v>
      </c>
      <c r="F28" s="6"/>
    </row>
    <row r="29" spans="1:18">
      <c r="A29" s="231" t="s">
        <v>51</v>
      </c>
      <c r="B29" s="33">
        <f>IF(ISERROR(TER_gezond_ele_kWh/1000),0,TER_gezond_ele_kWh/1000)</f>
        <v>974.3418033800001</v>
      </c>
      <c r="C29" s="39">
        <f>IF(ISERROR(B29*3.6/1000000/'E Balans VL '!Z10*100),0,B29*3.6/1000000/'E Balans VL '!Z10*100)</f>
        <v>0.10403358151762783</v>
      </c>
      <c r="D29" s="237" t="s">
        <v>660</v>
      </c>
      <c r="F29" s="6"/>
    </row>
    <row r="30" spans="1:18">
      <c r="A30" s="231" t="s">
        <v>50</v>
      </c>
      <c r="B30" s="33">
        <f>IF(ISERROR(TER_ander_ele_kWh/1000),0,TER_ander_ele_kWh/1000)</f>
        <v>3188.8877947000001</v>
      </c>
      <c r="C30" s="39">
        <f>IF(ISERROR(B30*3.6/1000000/'E Balans VL '!Z14*100),0,B30*3.6/1000000/'E Balans VL '!Z14*100)</f>
        <v>0.2408692173909546</v>
      </c>
      <c r="D30" s="237" t="s">
        <v>660</v>
      </c>
      <c r="F30" s="6"/>
    </row>
    <row r="31" spans="1:18">
      <c r="A31" s="231" t="s">
        <v>55</v>
      </c>
      <c r="B31" s="33">
        <f>IF(ISERROR(TER_onderwijs_ele_kWh/1000),0,TER_onderwijs_ele_kWh/1000)</f>
        <v>337.97003673</v>
      </c>
      <c r="C31" s="39">
        <f>IF(ISERROR(B31*3.6/1000000/'E Balans VL '!Z11*100),0,B31*3.6/1000000/'E Balans VL '!Z11*100)</f>
        <v>6.8247432727219115E-2</v>
      </c>
      <c r="D31" s="237" t="s">
        <v>660</v>
      </c>
    </row>
    <row r="32" spans="1:18">
      <c r="A32" s="231" t="s">
        <v>260</v>
      </c>
      <c r="B32" s="33">
        <f>IF(ISERROR(TER_rest_ele_kWh/1000),0,TER_rest_ele_kWh/1000)</f>
        <v>2949.1409908999999</v>
      </c>
      <c r="C32" s="39">
        <f>IF(ISERROR(B32*3.6/1000000/'E Balans VL '!Z8*100),0,B32*3.6/1000000/'E Balans VL '!Z8*100)</f>
        <v>2.445248546376497E-2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36553.97959984</v>
      </c>
      <c r="C5" s="17">
        <f>IF(ISERROR('Eigen informatie GS &amp; warmtenet'!B59),0,'Eigen informatie GS &amp; warmtenet'!B59)</f>
        <v>0</v>
      </c>
      <c r="D5" s="30">
        <f>SUM(D6:D15)</f>
        <v>14749.481576685899</v>
      </c>
      <c r="E5" s="17">
        <f>SUM(E6:E15)</f>
        <v>2577.2032220968686</v>
      </c>
      <c r="F5" s="17">
        <f>SUM(F6:F15)</f>
        <v>10644.823051462128</v>
      </c>
      <c r="G5" s="18"/>
      <c r="H5" s="17"/>
      <c r="I5" s="17"/>
      <c r="J5" s="17">
        <f>SUM(J6:J15)</f>
        <v>284.99535684463774</v>
      </c>
      <c r="K5" s="17"/>
      <c r="L5" s="17"/>
      <c r="M5" s="17"/>
      <c r="N5" s="17">
        <f>SUM(N6:N15)</f>
        <v>10896.161115488963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786.89549913999997</v>
      </c>
      <c r="C8" s="33"/>
      <c r="D8" s="37">
        <f>IF( ISERROR(IND_metaal_Gas_kWH/1000),0,IND_metaal_Gas_kWH/1000)*0.902</f>
        <v>109.39098845884</v>
      </c>
      <c r="E8" s="33">
        <f>C30*'E Balans VL '!I18/100/3.6*1000000</f>
        <v>28.31488057931282</v>
      </c>
      <c r="F8" s="33">
        <f>C30*'E Balans VL '!L18/100/3.6*1000000+C30*'E Balans VL '!N18/100/3.6*1000000</f>
        <v>343.61175606680217</v>
      </c>
      <c r="G8" s="34"/>
      <c r="H8" s="33"/>
      <c r="I8" s="33"/>
      <c r="J8" s="40">
        <f>C30*'E Balans VL '!D18/100/3.6*1000000+C30*'E Balans VL '!E18/100/3.6*1000000</f>
        <v>0</v>
      </c>
      <c r="K8" s="33"/>
      <c r="L8" s="33"/>
      <c r="M8" s="33"/>
      <c r="N8" s="33">
        <f>C30*'E Balans VL '!Y18/100/3.6*1000000</f>
        <v>39.438667664743008</v>
      </c>
      <c r="O8" s="33"/>
      <c r="P8" s="33"/>
      <c r="R8" s="32"/>
    </row>
    <row r="9" spans="1:18">
      <c r="A9" s="6" t="s">
        <v>33</v>
      </c>
      <c r="B9" s="37">
        <f t="shared" si="0"/>
        <v>4216.0910944999996</v>
      </c>
      <c r="C9" s="33"/>
      <c r="D9" s="37">
        <f>IF( ISERROR(IND_andere_gas_kWh/1000),0,IND_andere_gas_kWh/1000)*0.902</f>
        <v>4010.3239878965996</v>
      </c>
      <c r="E9" s="33">
        <f>C31*'E Balans VL '!I19/100/3.6*1000000</f>
        <v>1075.8510555835637</v>
      </c>
      <c r="F9" s="33">
        <f>C31*'E Balans VL '!L19/100/3.6*1000000+C31*'E Balans VL '!N19/100/3.6*1000000</f>
        <v>3629.7375386380672</v>
      </c>
      <c r="G9" s="34"/>
      <c r="H9" s="33"/>
      <c r="I9" s="33"/>
      <c r="J9" s="40">
        <f>C31*'E Balans VL '!D19/100/3.6*1000000+C31*'E Balans VL '!E19/100/3.6*1000000</f>
        <v>0</v>
      </c>
      <c r="K9" s="33"/>
      <c r="L9" s="33"/>
      <c r="M9" s="33"/>
      <c r="N9" s="33">
        <f>C31*'E Balans VL '!Y19/100/3.6*1000000</f>
        <v>1318.516071290635</v>
      </c>
      <c r="O9" s="33"/>
      <c r="P9" s="33"/>
      <c r="R9" s="32"/>
    </row>
    <row r="10" spans="1:18">
      <c r="A10" s="6" t="s">
        <v>41</v>
      </c>
      <c r="B10" s="37">
        <f t="shared" si="0"/>
        <v>6002.2604782999997</v>
      </c>
      <c r="C10" s="33"/>
      <c r="D10" s="37">
        <f>IF( ISERROR(IND_voed_gas_kWh/1000),0,IND_voed_gas_kWh/1000)*0.902</f>
        <v>6732.7096890482007</v>
      </c>
      <c r="E10" s="33">
        <f>C32*'E Balans VL '!I20/100/3.6*1000000</f>
        <v>152.58570313742257</v>
      </c>
      <c r="F10" s="33">
        <f>C32*'E Balans VL '!L20/100/3.6*1000000+C32*'E Balans VL '!N20/100/3.6*1000000</f>
        <v>1358.2214445391351</v>
      </c>
      <c r="G10" s="34"/>
      <c r="H10" s="33"/>
      <c r="I10" s="33"/>
      <c r="J10" s="40">
        <f>C32*'E Balans VL '!D20/100/3.6*1000000+C32*'E Balans VL '!E20/100/3.6*1000000</f>
        <v>0</v>
      </c>
      <c r="K10" s="33"/>
      <c r="L10" s="33"/>
      <c r="M10" s="33"/>
      <c r="N10" s="33">
        <f>C32*'E Balans VL '!Y20/100/3.6*1000000</f>
        <v>2251.0103770322585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1323.4580469</v>
      </c>
      <c r="C13" s="33"/>
      <c r="D13" s="37">
        <f>IF( ISERROR(IND_papier_gas_kWh/1000),0,IND_papier_gas_kWh/1000)*0.902</f>
        <v>350.59851884485994</v>
      </c>
      <c r="E13" s="33">
        <f>C35*'E Balans VL '!I23/100/3.6*1000000</f>
        <v>5.6759265456724473</v>
      </c>
      <c r="F13" s="33">
        <f>C35*'E Balans VL '!L23/100/3.6*1000000+C35*'E Balans VL '!N23/100/3.6*1000000</f>
        <v>33.262608470874881</v>
      </c>
      <c r="G13" s="34"/>
      <c r="H13" s="33"/>
      <c r="I13" s="33"/>
      <c r="J13" s="40">
        <f>C35*'E Balans VL '!D23/100/3.6*1000000+C35*'E Balans VL '!E23/100/3.6*1000000</f>
        <v>88.598257371168273</v>
      </c>
      <c r="K13" s="33"/>
      <c r="L13" s="33"/>
      <c r="M13" s="33"/>
      <c r="N13" s="33">
        <f>C35*'E Balans VL '!Y23/100/3.6*1000000</f>
        <v>2409.0083756892604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24225.274481</v>
      </c>
      <c r="C15" s="33"/>
      <c r="D15" s="37">
        <f>IF( ISERROR(IND_rest_gas_kWh/1000),0,IND_rest_gas_kWh/1000)*0.902</f>
        <v>3546.4583924374001</v>
      </c>
      <c r="E15" s="33">
        <f>C37*'E Balans VL '!I15/100/3.6*1000000</f>
        <v>1314.7756562508969</v>
      </c>
      <c r="F15" s="33">
        <f>C37*'E Balans VL '!L15/100/3.6*1000000+C37*'E Balans VL '!N15/100/3.6*1000000</f>
        <v>5279.9897037472483</v>
      </c>
      <c r="G15" s="34"/>
      <c r="H15" s="33"/>
      <c r="I15" s="33"/>
      <c r="J15" s="40">
        <f>C37*'E Balans VL '!D15/100/3.6*1000000+C37*'E Balans VL '!E15/100/3.6*1000000</f>
        <v>196.39709947346944</v>
      </c>
      <c r="K15" s="33"/>
      <c r="L15" s="33"/>
      <c r="M15" s="33"/>
      <c r="N15" s="33">
        <f>C37*'E Balans VL '!Y15/100/3.6*1000000</f>
        <v>4878.1876238120658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36553.97959984</v>
      </c>
      <c r="C18" s="21">
        <f>C5+C16</f>
        <v>0</v>
      </c>
      <c r="D18" s="21">
        <f>MAX((D5+D16),0)</f>
        <v>14749.481576685899</v>
      </c>
      <c r="E18" s="21">
        <f>MAX((E5+E16),0)</f>
        <v>2577.2032220968686</v>
      </c>
      <c r="F18" s="21">
        <f>MAX((F5+F16),0)</f>
        <v>10644.823051462128</v>
      </c>
      <c r="G18" s="21"/>
      <c r="H18" s="21"/>
      <c r="I18" s="21"/>
      <c r="J18" s="21">
        <f>MAX((J5+J16),0)</f>
        <v>284.99535684463774</v>
      </c>
      <c r="K18" s="21"/>
      <c r="L18" s="21">
        <f>MAX((L5+L16),0)</f>
        <v>0</v>
      </c>
      <c r="M18" s="21"/>
      <c r="N18" s="21">
        <f>MAX((N5+N16),0)</f>
        <v>10896.161115488963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0.14736986451896383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5386.9550212573886</v>
      </c>
      <c r="C22" s="23">
        <f ca="1">C18*C20</f>
        <v>0</v>
      </c>
      <c r="D22" s="23">
        <f>D18*D20</f>
        <v>2979.3952784905518</v>
      </c>
      <c r="E22" s="23">
        <f>E18*E20</f>
        <v>585.02513141598922</v>
      </c>
      <c r="F22" s="23">
        <f>F18*F20</f>
        <v>2842.1677547403883</v>
      </c>
      <c r="G22" s="23"/>
      <c r="H22" s="23"/>
      <c r="I22" s="23"/>
      <c r="J22" s="23">
        <f>J18*J20</f>
        <v>100.88835632300176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786.89549913999997</v>
      </c>
      <c r="C30" s="39">
        <f>IF(ISERROR(B30*3.6/1000000/'E Balans VL '!Z18*100),0,B30*3.6/1000000/'E Balans VL '!Z18*100)</f>
        <v>0.16672628567289813</v>
      </c>
      <c r="D30" s="237" t="s">
        <v>660</v>
      </c>
    </row>
    <row r="31" spans="1:18">
      <c r="A31" s="6" t="s">
        <v>33</v>
      </c>
      <c r="B31" s="37">
        <f>IF( ISERROR(IND_ander_ele_kWh/1000),0,IND_ander_ele_kWh/1000)</f>
        <v>4216.0910944999996</v>
      </c>
      <c r="C31" s="39">
        <f>IF(ISERROR(B31*3.6/1000000/'E Balans VL '!Z19*100),0,B31*3.6/1000000/'E Balans VL '!Z19*100)</f>
        <v>0.17746484749856431</v>
      </c>
      <c r="D31" s="237" t="s">
        <v>660</v>
      </c>
    </row>
    <row r="32" spans="1:18">
      <c r="A32" s="171" t="s">
        <v>41</v>
      </c>
      <c r="B32" s="37">
        <f>IF( ISERROR(IND_voed_ele_kWh/1000),0,IND_voed_ele_kWh/1000)</f>
        <v>6002.2604782999997</v>
      </c>
      <c r="C32" s="39">
        <f>IF(ISERROR(B32*3.6/1000000/'E Balans VL '!Z20*100),0,B32*3.6/1000000/'E Balans VL '!Z20*100)</f>
        <v>1.0027455238066407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1323.4580469</v>
      </c>
      <c r="C35" s="39">
        <f>IF(ISERROR(B35*3.6/1000000/'E Balans VL '!Z22*100),0,B35*3.6/1000000/'E Balans VL '!Z22*100)</f>
        <v>0.16775544483274191</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24225.274481</v>
      </c>
      <c r="C37" s="39">
        <f>IF(ISERROR(B37*3.6/1000000/'E Balans VL '!Z15*100),0,B37*3.6/1000000/'E Balans VL '!Z15*100)</f>
        <v>0.19558002134133348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5378.0315780799992</v>
      </c>
      <c r="C5" s="17">
        <f>'Eigen informatie GS &amp; warmtenet'!B60</f>
        <v>0</v>
      </c>
      <c r="D5" s="30">
        <f>IF(ISERROR(SUM(LB_lb_gas_kWh,LB_rest_gas_kWh,onbekend_gas_kWh)/1000),0,SUM(LB_lb_gas_kWh,LB_rest_gas_kWh,onbekend_gas_kWh)/1000)*0.902</f>
        <v>2326.8242971487798</v>
      </c>
      <c r="E5" s="17">
        <f>B17*'E Balans VL '!I25/3.6*1000000/100</f>
        <v>138.67878514478181</v>
      </c>
      <c r="F5" s="17">
        <f>B17*('E Balans VL '!L25/3.6*1000000+'E Balans VL '!N25/3.6*1000000)/100</f>
        <v>19657.729614243912</v>
      </c>
      <c r="G5" s="18"/>
      <c r="H5" s="17"/>
      <c r="I5" s="17"/>
      <c r="J5" s="17">
        <f>('E Balans VL '!D25+'E Balans VL '!E25)/3.6*1000000*landbouw!B17/100</f>
        <v>774.23870744012345</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5378.0315780799992</v>
      </c>
      <c r="C8" s="21">
        <f>C5+C6</f>
        <v>62.357142857142847</v>
      </c>
      <c r="D8" s="21">
        <f>MAX((D5+D6),0)</f>
        <v>2326.8242971487798</v>
      </c>
      <c r="E8" s="21">
        <f>MAX((E5+E6),0)</f>
        <v>138.67878514478181</v>
      </c>
      <c r="F8" s="21">
        <f>MAX((F5+F6),0)</f>
        <v>19657.729614243912</v>
      </c>
      <c r="G8" s="21"/>
      <c r="H8" s="21"/>
      <c r="I8" s="21"/>
      <c r="J8" s="21">
        <f>MAX((J5+J6),0)</f>
        <v>774.23870744012345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0.14736986451896383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792.55978504035875</v>
      </c>
      <c r="C12" s="23">
        <f ca="1">C8*C10</f>
        <v>0</v>
      </c>
      <c r="D12" s="23">
        <f>D8*D10</f>
        <v>470.01850802405357</v>
      </c>
      <c r="E12" s="23">
        <f>E8*E10</f>
        <v>31.480084227865472</v>
      </c>
      <c r="F12" s="23">
        <f>F8*F10</f>
        <v>5248.6138070031247</v>
      </c>
      <c r="G12" s="23"/>
      <c r="H12" s="23"/>
      <c r="I12" s="23"/>
      <c r="J12" s="23">
        <f>J8*J10</f>
        <v>274.0805024338037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0.75833807579167678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1350.5548801412849</v>
      </c>
      <c r="C26" s="247">
        <f>B26*'GWP N2O_CH4'!B5</f>
        <v>28361.652482966983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408.00431552772955</v>
      </c>
      <c r="C27" s="247">
        <f>B27*'GWP N2O_CH4'!B5</f>
        <v>8568.0906260823213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17.194423219316999</v>
      </c>
      <c r="C28" s="247">
        <f>B28*'GWP N2O_CH4'!B4</f>
        <v>5330.2711979882697</v>
      </c>
      <c r="D28" s="50"/>
    </row>
    <row r="29" spans="1:4">
      <c r="A29" s="41" t="s">
        <v>277</v>
      </c>
      <c r="B29" s="247">
        <f>B34*'ha_N2O bodem landbouw'!B4</f>
        <v>42.767752128972361</v>
      </c>
      <c r="C29" s="247">
        <f>B29*'GWP N2O_CH4'!B4</f>
        <v>13258.003159981432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9.6250682962751802E-3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1.9742143062567599E-4</v>
      </c>
      <c r="C5" s="463" t="s">
        <v>211</v>
      </c>
      <c r="D5" s="448">
        <f>SUM(D6:D11)</f>
        <v>4.5204662971489953E-4</v>
      </c>
      <c r="E5" s="448">
        <f>SUM(E6:E11)</f>
        <v>1.75839745711151E-3</v>
      </c>
      <c r="F5" s="461" t="s">
        <v>211</v>
      </c>
      <c r="G5" s="448">
        <f>SUM(G6:G11)</f>
        <v>0.6421514453480478</v>
      </c>
      <c r="H5" s="448">
        <f>SUM(H6:H11)</f>
        <v>0.12157466233352207</v>
      </c>
      <c r="I5" s="463" t="s">
        <v>211</v>
      </c>
      <c r="J5" s="463" t="s">
        <v>211</v>
      </c>
      <c r="K5" s="463" t="s">
        <v>211</v>
      </c>
      <c r="L5" s="463" t="s">
        <v>211</v>
      </c>
      <c r="M5" s="448">
        <f>SUM(M6:M11)</f>
        <v>2.3873403927357029E-2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1.4932265830836945E-4</v>
      </c>
      <c r="C6" s="449"/>
      <c r="D6" s="962">
        <f>vkm_2011_GW_PW*SUMIFS(TableVerdeelsleutelVkm[CNG],TableVerdeelsleutelVkm[Voertuigtype],"Lichte voertuigen")*SUMIFS(TableECFTransport[EnergieConsumptieFactor (PJ per km)],TableECFTransport[Index],CONCATENATE($A6,"_CNG_CNG"))</f>
        <v>2.967067376742202E-4</v>
      </c>
      <c r="E6" s="962">
        <f>vkm_2011_GW_PW*SUMIFS(TableVerdeelsleutelVkm[LPG],TableVerdeelsleutelVkm[Voertuigtype],"Lichte voertuigen")*SUMIFS(TableECFTransport[EnergieConsumptieFactor (PJ per km)],TableECFTransport[Index],CONCATENATE($A6,"_LPG_LPG"))</f>
        <v>1.1676473741401875E-3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0.27762648125291151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8.0327440113274293E-2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1.1154174729254196E-2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0.18796348666972507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6.0720234774171906E-5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5.9224418665308294E-3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3.8444121043184488E-5</v>
      </c>
      <c r="C8" s="449"/>
      <c r="D8" s="451">
        <f>vkm_2011_NGW_PW*SUMIFS(TableVerdeelsleutelVkm[CNG],TableVerdeelsleutelVkm[Voertuigtype],"Lichte voertuigen")*SUMIFS(TableECFTransport[EnergieConsumptieFactor (PJ per km)],TableECFTransport[Index],CONCATENATE($A8,"_CNG_CNG"))</f>
        <v>1.3525730432294416E-4</v>
      </c>
      <c r="E8" s="451">
        <f>vkm_2011_NGW_PW*SUMIFS(TableVerdeelsleutelVkm[LPG],TableVerdeelsleutelVkm[Voertuigtype],"Lichte voertuigen")*SUMIFS(TableECFTransport[EnergieConsumptieFactor (PJ per km)],TableECFTransport[Index],CONCATENATE($A8,"_LPG_LPG"))</f>
        <v>4.9227049403903001E-4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0.1092978879040708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3.550702300226212E-2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4.5077203721822839E-3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2.8857810793022329E-2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8.8163058856862668E-6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9.0925028688174211E-4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9.6546512741220508E-6</v>
      </c>
      <c r="C10" s="449"/>
      <c r="D10" s="451">
        <f>vkm_2011_SW_PW*SUMIFS(TableVerdeelsleutelVkm[CNG],TableVerdeelsleutelVkm[Voertuigtype],"Lichte voertuigen")*SUMIFS(TableECFTransport[EnergieConsumptieFactor (PJ per km)],TableECFTransport[Index],CONCATENATE($A10,"_CNG_CNG"))</f>
        <v>2.0082587717735148E-5</v>
      </c>
      <c r="E10" s="451">
        <f>vkm_2011_SW_PW*SUMIFS(TableVerdeelsleutelVkm[LPG],TableVerdeelsleutelVkm[Voertuigtype],"Lichte voertuigen")*SUMIFS(TableECFTransport[EnergieConsumptieFactor (PJ per km)],TableECFTransport[Index],CONCATENATE($A10,"_LPG_LPG"))</f>
        <v>9.8479588932292314E-5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2.0975021736991995E-2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5.6645957543683505E-3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8.3058711173164285E-4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1.7430756991326127E-2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6.066922957451425E-6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5.4922956077633816E-4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54.839286284910003</v>
      </c>
      <c r="C14" s="21"/>
      <c r="D14" s="21">
        <f t="shared" ref="D14:M14" si="0">((D5)*10^9/3600)+D12</f>
        <v>125.56850825413876</v>
      </c>
      <c r="E14" s="21">
        <f t="shared" si="0"/>
        <v>488.44373808653057</v>
      </c>
      <c r="F14" s="21"/>
      <c r="G14" s="21">
        <f t="shared" si="0"/>
        <v>178375.40148556884</v>
      </c>
      <c r="H14" s="21">
        <f t="shared" si="0"/>
        <v>33770.739537089466</v>
      </c>
      <c r="I14" s="21"/>
      <c r="J14" s="21"/>
      <c r="K14" s="21"/>
      <c r="L14" s="21"/>
      <c r="M14" s="21">
        <f t="shared" si="0"/>
        <v>6631.5010909325083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0.14736986451896383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8.0816581901238589</v>
      </c>
      <c r="C18" s="23"/>
      <c r="D18" s="23">
        <f t="shared" ref="D18:M18" si="1">D14*D16</f>
        <v>25.364838667336031</v>
      </c>
      <c r="E18" s="23">
        <f t="shared" si="1"/>
        <v>110.87672854564245</v>
      </c>
      <c r="F18" s="23"/>
      <c r="G18" s="23">
        <f t="shared" si="1"/>
        <v>47626.232196646881</v>
      </c>
      <c r="H18" s="23">
        <f t="shared" si="1"/>
        <v>8408.9141447352777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5.2373734427669742E-3</v>
      </c>
      <c r="H50" s="321">
        <f t="shared" si="2"/>
        <v>0</v>
      </c>
      <c r="I50" s="321">
        <f t="shared" si="2"/>
        <v>0</v>
      </c>
      <c r="J50" s="321">
        <f t="shared" si="2"/>
        <v>0</v>
      </c>
      <c r="K50" s="321">
        <f t="shared" si="2"/>
        <v>0</v>
      </c>
      <c r="L50" s="321">
        <f t="shared" si="2"/>
        <v>0</v>
      </c>
      <c r="M50" s="321">
        <f t="shared" si="2"/>
        <v>1.6245160723657651E-4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5.2373734427669742E-3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1.6245160723657651E-4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1454.8259563241593</v>
      </c>
      <c r="H54" s="21">
        <f t="shared" si="3"/>
        <v>0</v>
      </c>
      <c r="I54" s="21">
        <f t="shared" si="3"/>
        <v>0</v>
      </c>
      <c r="J54" s="21">
        <f t="shared" si="3"/>
        <v>0</v>
      </c>
      <c r="K54" s="21">
        <f t="shared" si="3"/>
        <v>0</v>
      </c>
      <c r="L54" s="21">
        <f t="shared" si="3"/>
        <v>0</v>
      </c>
      <c r="M54" s="21">
        <f t="shared" si="3"/>
        <v>45.125446454604585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0.14736986451896383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388.43853033855055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28396.2168187854</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7733.3013823571782</v>
      </c>
      <c r="C6" s="1203"/>
      <c r="D6" s="1188"/>
      <c r="E6" s="1188"/>
      <c r="F6" s="1206"/>
      <c r="G6" s="1209"/>
      <c r="H6" s="1200"/>
      <c r="I6" s="1188"/>
      <c r="J6" s="1188"/>
      <c r="K6" s="1188"/>
      <c r="L6" s="1192"/>
      <c r="M6" s="575"/>
      <c r="N6" s="1166"/>
      <c r="O6" s="1167"/>
      <c r="Q6" s="573"/>
      <c r="R6" s="1154"/>
      <c r="S6" s="115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36173.16820114258</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43010</v>
      </c>
      <c r="C27" s="851">
        <v>9991</v>
      </c>
      <c r="D27" s="672" t="s">
        <v>818</v>
      </c>
      <c r="E27" s="671" t="s">
        <v>819</v>
      </c>
      <c r="F27" s="671" t="s">
        <v>820</v>
      </c>
      <c r="G27" s="671" t="s">
        <v>821</v>
      </c>
      <c r="H27" s="671" t="s">
        <v>822</v>
      </c>
      <c r="I27" s="671" t="s">
        <v>819</v>
      </c>
      <c r="J27" s="850">
        <v>41174</v>
      </c>
      <c r="K27" s="850">
        <v>41275</v>
      </c>
      <c r="L27" s="671" t="s">
        <v>823</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2018-06-27T09:43:42Z</dcterms:modified>
</cp:coreProperties>
</file>