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0" i="14"/>
  <c r="R10" s="1"/>
  <c r="J20" i="15"/>
  <c r="K36" i="14" s="1"/>
  <c r="M16" i="18"/>
  <c r="M19"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C17" i="19"/>
  <c r="C19" s="1"/>
  <c r="D35" i="14" s="1"/>
  <c r="C29" i="20"/>
  <c r="F22" i="16"/>
  <c r="G39" i="14" s="1"/>
  <c r="G41" s="1"/>
  <c r="N22" i="16"/>
  <c r="O39" i="14" s="1"/>
  <c r="O41" s="1"/>
  <c r="F8" i="48"/>
  <c r="Q4"/>
  <c r="N22"/>
  <c r="R11" i="14"/>
  <c r="J21" i="48"/>
  <c r="C17" i="49" l="1"/>
  <c r="J8" i="48"/>
  <c r="J25" s="1"/>
  <c r="C56" i="22"/>
  <c r="C58" s="1"/>
  <c r="D44" i="14" s="1"/>
  <c r="D46" s="1"/>
  <c r="C10" i="17"/>
  <c r="C12" s="1"/>
  <c r="D48" i="14" s="1"/>
  <c r="Q5" i="48"/>
  <c r="C16" i="22"/>
  <c r="O13" i="14"/>
  <c r="O15" s="1"/>
  <c r="F13"/>
  <c r="F15" s="1"/>
  <c r="F23" s="1"/>
  <c r="N25" i="48"/>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<sst xmlns="http://schemas.openxmlformats.org/spreadsheetml/2006/main" count="1949" uniqueCount="833">
  <si>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</si>
  <si>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</si>
  <si>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</si>
  <si>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</si>
  <si>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</si>
  <si>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</si>
  <si>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</si>
  <si>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</si>
  <si>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</si>
  <si>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</si>
  <si>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</si>
  <si>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</si>
  <si>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</si>
  <si>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</si>
  <si>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</si>
  <si>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</si>
  <si>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</si>
  <si>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</si>
  <si>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</si>
  <si>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</si>
  <si>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</si>
  <si>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</si>
  <si>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</si>
  <si>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</si>
  <si>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</si>
  <si>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</si>
  <si>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</si>
  <si>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</si>
  <si>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</si>
  <si>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</si>
  <si>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</si>
  <si>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</si>
  <si>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</si>
  <si>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</si>
  <si>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</si>
  <si>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</si>
  <si>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</si>
  <si>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</si>
  <si>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</si>
  <si>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</si>
  <si>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</si>
  <si>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</si>
  <si>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</si>
  <si>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</si>
  <si>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</si>
  <si>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</si>
  <si>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</si>
  <si>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</si>
  <si>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</si>
  <si>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</si>
  <si>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</si>
  <si>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</si>
  <si>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</si>
  <si>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</si>
  <si>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</si>
  <si>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</si>
  <si>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</si>
  <si>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</si>
  <si>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</si>
  <si>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</si>
  <si>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</si>
  <si>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</si>
  <si>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</si>
  <si>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</si>
  <si>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</si>
  <si>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</si>
  <si>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</si>
  <si>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</si>
  <si>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</si>
  <si>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</si>
  <si>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</si>
  <si>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</si>
  <si>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</si>
  <si>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</si>
  <si>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</si>
  <si>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</si>
  <si>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</si>
  <si>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</si>
  <si>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</si>
  <si>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</si>
  <si>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</si>
  <si>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</si>
  <si>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</si>
  <si>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</si>
  <si>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</si>
  <si>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</si>
  <si>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</si>
  <si>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</si>
  <si>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</si>
  <si>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</si>
  <si>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</si>
  <si>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</si>
  <si>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</si>
  <si>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</si>
  <si>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</si>
  <si>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</si>
  <si>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</si>
  <si>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</si>
  <si>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</si>
  <si>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</si>
  <si>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</si>
  <si>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</si>
  <si>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</si>
  <si>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</si>
  <si>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</si>
  <si>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</si>
  <si>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</si>
  <si>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</si>
  <si>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</si>
  <si>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</si>
  <si>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</si>
  <si>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</si>
  <si>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</si>
  <si>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</si>
  <si>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</si>
  <si>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</si>
  <si>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</si>
  <si>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</si>
  <si>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</si>
  <si>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</si>
  <si>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</si>
  <si>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</si>
  <si>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</si>
  <si>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</si>
  <si>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</si>
  <si>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</si>
  <si>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</si>
  <si>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</si>
  <si>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</si>
  <si>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</si>
  <si>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</si>
  <si>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</si>
  <si>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</si>
  <si>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</si>
  <si>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</si>
  <si>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</si>
  <si>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</si>
  <si>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</si>
  <si>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</si>
  <si>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</si>
  <si>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</si>
  <si>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</si>
  <si>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</si>
  <si>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</si>
  <si>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</si>
  <si>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</si>
  <si>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</si>
  <si>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</si>
  <si>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</si>
  <si>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</si>
  <si>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</si>
  <si>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</si>
  <si>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</si>
  <si>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</si>
  <si>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</si>
  <si>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</si>
  <si>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</si>
  <si>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</si>
  <si>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</si>
  <si>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</si>
  <si>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</si>
  <si>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</si>
  <si>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</si>
  <si>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</si>
  <si>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</si>
  <si>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</si>
  <si>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</si>
  <si>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</si>
  <si>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</si>
  <si>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</si>
  <si>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</si>
  <si>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</si>
  <si>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</si>
  <si>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</si>
  <si>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</si>
  <si>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</si>
  <si>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</si>
  <si>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</si>
  <si>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</si>
  <si>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</si>
  <si>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</si>
  <si>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</si>
  <si>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</si>
  <si>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</si>
  <si>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</si>
  <si>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</si>
  <si>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</si>
  <si>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</si>
  <si>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</si>
  <si>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</si>
  <si>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</si>
  <si>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</si>
  <si>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</si>
  <si>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</si>
  <si>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</si>
  <si>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</si>
  <si>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</si>
  <si>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</si>
  <si>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</si>
  <si>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</si>
  <si>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</si>
  <si>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</si>
  <si>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</si>
  <si>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</si>
  <si>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</si>
  <si>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</si>
  <si>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</si>
  <si>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</si>
  <si>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</si>
  <si>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</si>
  <si>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</si>
  <si>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</si>
  <si>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</si>
  <si>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</si>
  <si>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</si>
  <si>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</si>
  <si>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</si>
  <si>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</si>
  <si>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</si>
  <si>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</si>
  <si>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</si>
  <si>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</si>
  <si>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</si>
  <si>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</si>
  <si>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</si>
  <si>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</si>
  <si>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</si>
  <si>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</si>
  <si>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</si>
  <si>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</si>
  <si>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</si>
  <si>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</si>
  <si>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</si>
  <si>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</si>
  <si>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</si>
  <si>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</si>
  <si>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</si>
  <si>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</si>
  <si>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</si>
  <si>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</si>
  <si>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</si>
  <si>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</si>
  <si>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</si>
  <si>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</si>
  <si>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</si>
  <si>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</si>
  <si>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</si>
  <si>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</si>
  <si>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</si>
  <si>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</si>
  <si>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</si>
  <si>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</si>
  <si>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</si>
  <si>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</si>
  <si>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</si>
  <si>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</si>
  <si>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</si>
  <si>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</si>
  <si>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</si>
  <si>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</si>
  <si>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</si>
  <si>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</si>
  <si>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</si>
  <si>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</si>
  <si>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</si>
  <si>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</si>
  <si>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</si>
  <si>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</si>
  <si>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</si>
  <si>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</si>
  <si>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</si>
  <si>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</si>
  <si>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</si>
  <si>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</si>
  <si>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</si>
  <si>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</si>
  <si>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</si>
  <si>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</si>
  <si>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</si>
  <si>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</si>
  <si>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</si>
  <si>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</si>
  <si>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</si>
  <si>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</si>
  <si>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</si>
  <si>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</si>
  <si>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</si>
  <si>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</si>
  <si>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</si>
  <si>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</si>
  <si>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</si>
  <si>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</si>
  <si>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</si>
  <si>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</si>
  <si>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</si>
  <si>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</si>
  <si>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</si>
  <si>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</si>
  <si>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</si>
  <si>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</si>
  <si>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</si>
  <si>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</si>
  <si>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</si>
  <si>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</si>
  <si>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</si>
  <si>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</si>
  <si>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</si>
  <si>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</si>
  <si>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</si>
  <si>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</si>
  <si>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</si>
  <si>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</si>
  <si>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</si>
  <si>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</si>
  <si>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</si>
  <si>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</si>
  <si>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</si>
  <si>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</si>
  <si>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</si>
  <si>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</si>
  <si>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</si>
  <si>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</si>
  <si>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</si>
  <si>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</si>
  <si>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</si>
  <si>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</si>
  <si>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</si>
  <si>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</si>
  <si>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</si>
  <si>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</si>
  <si>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</si>
  <si>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</si>
  <si>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</si>
  <si>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</si>
  <si>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</si>
  <si>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</si>
  <si>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</si>
  <si>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</si>
  <si>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</si>
  <si>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</si>
  <si>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</si>
  <si>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</si>
  <si>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</si>
  <si>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</si>
  <si>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</si>
  <si>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</si>
  <si>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</si>
  <si>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</si>
  <si>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</si>
  <si>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</si>
  <si>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</si>
  <si>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</si>
  <si>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</si>
  <si>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</si>
  <si>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</si>
  <si>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</si>
  <si>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</si>
  <si>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</si>
  <si>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</si>
  <si>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</si>
  <si>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</si>
  <si>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</si>
  <si>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</si>
  <si>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</si>
  <si>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</si>
  <si>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</si>
  <si>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</si>
  <si>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</si>
  <si>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</si>
  <si>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</si>
  <si>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</si>
  <si>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</si>
  <si>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</si>
  <si>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</si>
  <si>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</si>
  <si>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</si>
  <si>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</si>
  <si>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</si>
  <si>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</si>
  <si>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</si>
  <si>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</si>
  <si>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</si>
  <si>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</si>
  <si>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</si>
  <si>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</si>
  <si>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</si>
  <si>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</si>
  <si>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</si>
  <si>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</si>
  <si>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</si>
  <si>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</si>
  <si>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</si>
  <si>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</si>
  <si>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</si>
  <si>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</si>
  <si>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</si>
  <si>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</si>
  <si>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</si>
  <si>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</si>
  <si>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</si>
  <si>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</si>
  <si>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</si>
  <si>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</si>
  <si>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</si>
  <si>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</si>
  <si>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</si>
  <si>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</si>
  <si>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</si>
  <si>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</si>
  <si>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</si>
  <si>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</si>
  <si>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</si>
  <si>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</si>
  <si>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</si>
  <si>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</si>
  <si>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</si>
  <si>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</si>
  <si>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</si>
  <si>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</si>
  <si>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</si>
  <si>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</si>
  <si>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</si>
  <si>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</si>
  <si>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</si>
  <si>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</si>
  <si>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</si>
  <si>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</si>
  <si>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</si>
  <si>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</si>
  <si>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</si>
  <si>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</si>
  <si>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</si>
  <si>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</si>
  <si>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</si>
  <si>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</si>
  <si>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</si>
  <si>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</si>
  <si>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</si>
  <si>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</si>
  <si>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</si>
  <si>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</si>
  <si>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</si>
  <si>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</si>
  <si>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</si>
  <si>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</si>
  <si>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</si>
  <si>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</si>
  <si>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</si>
  <si>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</si>
  <si>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</si>
  <si>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</si>
  <si>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</si>
  <si>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</si>
  <si>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</si>
  <si>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</si>
  <si>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</si>
  <si>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</si>
  <si>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</si>
  <si>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</si>
  <si>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</si>
  <si>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</si>
  <si>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</si>
  <si>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</si>
  <si>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</si>
  <si>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</si>
  <si>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</si>
  <si>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</si>
  <si>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</si>
  <si>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</si>
  <si>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</si>
  <si>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</si>
  <si>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</si>
  <si>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</si>
  <si>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</si>
  <si>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</si>
  <si>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</si>
  <si>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</si>
  <si>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</si>
  <si>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</si>
  <si>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</si>
  <si>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</si>
  <si>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</si>
  <si>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</si>
  <si>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</si>
  <si>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</si>
  <si>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</si>
  <si>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</si>
  <si>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</si>
  <si>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</si>
  <si>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</si>
  <si>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</si>
  <si>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</si>
  <si>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</si>
  <si>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</si>
  <si>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</si>
  <si>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</si>
  <si>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</si>
  <si>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</si>
  <si>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</si>
  <si>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</si>
  <si>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</si>
  <si>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</si>
  <si>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</si>
  <si>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</si>
  <si>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</si>
  <si>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</si>
  <si>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</si>
  <si>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</si>
  <si>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</si>
  <si>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</si>
  <si>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</si>
  <si>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</si>
  <si>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</si>
  <si>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</si>
  <si>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</si>
  <si>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</si>
  <si>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</si>
  <si>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</si>
  <si>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</si>
  <si>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</si>
  <si>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</si>
  <si>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</si>
  <si>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</si>
  <si>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</si>
  <si>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</si>
  <si>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</si>
  <si>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</si>
  <si>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</si>
  <si>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</si>
  <si>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</si>
  <si>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</si>
  <si>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</si>
  <si>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</si>
  <si>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</si>
  <si>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</si>
  <si>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</si>
  <si>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</si>
  <si>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</si>
  <si>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</si>
  <si>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</si>
  <si>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</si>
  <si>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</si>
  <si>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</si>
  <si>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</si>
  <si>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</si>
  <si>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</si>
  <si>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</si>
  <si>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</si>
  <si>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</si>
  <si>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</si>
  <si>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</si>
  <si>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</si>
  <si>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</si>
  <si>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</si>
  <si>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</si>
  <si>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</si>
  <si>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</si>
  <si>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</si>
  <si>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</si>
  <si>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</si>
  <si>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</si>
  <si>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</si>
  <si>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</si>
  <si>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</si>
  <si>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</si>
  <si>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</si>
  <si>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</si>
  <si>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</si>
  <si>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</si>
  <si>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</si>
  <si>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</si>
  <si>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</si>
  <si>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</si>
  <si>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</si>
  <si>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</si>
  <si>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</si>
  <si>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</si>
  <si>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</si>
  <si>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</si>
  <si>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</si>
  <si>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</si>
  <si>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</si>
  <si>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</si>
  <si>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</si>
  <si>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</si>
  <si>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</si>
  <si>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</si>
  <si>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</si>
  <si>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</si>
  <si>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</si>
  <si>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</si>
  <si>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</si>
  <si>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</si>
  <si>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</si>
  <si>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</si>
  <si>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</si>
  <si>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</si>
  <si>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</si>
  <si>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</si>
  <si>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</si>
  <si>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</si>
  <si>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</si>
  <si>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</si>
  <si>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</si>
  <si>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</si>
  <si>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</si>
  <si>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</si>
  <si>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</si>
  <si>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</si>
  <si>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</si>
  <si>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</si>
  <si>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</si>
  <si>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</si>
  <si>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</si>
  <si>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</si>
  <si>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</si>
  <si>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</si>
  <si>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</si>
  <si>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</si>
  <si>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</si>
  <si>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</si>
  <si>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</si>
  <si>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</si>
  <si>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</si>
  <si>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</si>
  <si>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</si>
  <si>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</si>
  <si>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</si>
  <si>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</si>
  <si>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</si>
  <si>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</si>
  <si>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</si>
  <si>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</si>
  <si>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</si>
  <si>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</si>
  <si>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</si>
  <si>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</si>
  <si>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</si>
  <si>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</si>
  <si>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</si>
  <si>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</si>
  <si>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</si>
  <si>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</si>
  <si>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</si>
  <si>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</si>
  <si>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</si>
  <si>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</si>
  <si>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</si>
  <si>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</si>
  <si>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</si>
  <si>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</si>
  <si>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</si>
  <si>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</si>
  <si>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</si>
  <si>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</si>
  <si>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</si>
  <si>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</si>
  <si>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</si>
  <si>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</si>
  <si>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</si>
  <si>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</si>
  <si>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</si>
  <si>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</si>
  <si>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</si>
  <si>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</si>
  <si>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</si>
  <si>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</si>
  <si>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</si>
  <si>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</si>
  <si>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</si>
  <si>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</si>
  <si>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</si>
  <si>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</si>
  <si>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</si>
  <si>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</si>
  <si>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</si>
  <si>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</si>
  <si>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</si>
  <si>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</si>
  <si>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</si>
  <si>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</si>
  <si>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</si>
  <si>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</si>
  <si>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</si>
  <si>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</si>
  <si>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</si>
  <si>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</si>
  <si>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</si>
  <si>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</si>
  <si>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</si>
  <si>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</si>
  <si>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</si>
  <si>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</si>
  <si>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</si>
  <si>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</si>
  <si>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</si>
  <si>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</si>
  <si>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</si>
  <si>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</si>
  <si>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</si>
  <si>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</si>
  <si>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</si>
  <si>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</si>
  <si>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</si>
  <si>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</si>
  <si>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</si>
  <si>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</si>
  <si>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</si>
  <si>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</si>
  <si>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</si>
  <si>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</si>
  <si>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</si>
  <si>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</si>
  <si>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</si>
  <si>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</si>
  <si>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</si>
  <si>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</si>
  <si>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</si>
  <si>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</si>
  <si>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</si>
  <si>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</si>
  <si>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</si>
  <si>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</si>
  <si>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</si>
  <si>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</si>
  <si>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</si>
  <si>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</si>
  <si>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</si>
  <si>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</si>
  <si>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</si>
  <si>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</si>
  <si>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</si>
  <si>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</si>
  <si>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</si>
  <si>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</si>
  <si>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</si>
  <si>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</si>
  <si>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</si>
  <si>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</si>
  <si>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</si>
  <si>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</si>
  <si>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</si>
  <si>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</si>
  <si>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</si>
  <si>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</si>
  <si>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</si>
  <si>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</si>
  <si>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</si>
  <si>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</si>
  <si>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</si>
  <si>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</si>
  <si>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</si>
  <si>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</si>
  <si>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</si>
  <si>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</si>
  <si>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</si>
  <si>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</si>
  <si>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</si>
  <si>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</si>
  <si>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</si>
  <si>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</si>
  <si>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</si>
  <si>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</si>
  <si>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</si>
  <si>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</si>
  <si>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</si>
  <si>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</si>
  <si>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</si>
  <si>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</si>
  <si>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</si>
  <si>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</si>
  <si>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</si>
  <si>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</si>
  <si>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</si>
  <si>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</si>
  <si>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</si>
  <si>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</si>
  <si>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</si>
  <si>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</si>
  <si>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</si>
  <si>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</si>
  <si>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</si>
  <si>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</si>
  <si>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</si>
  <si>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</si>
  <si>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</si>
  <si>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</si>
  <si>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</si>
  <si>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</si>
  <si>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</si>
  <si>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</si>
  <si>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</si>
  <si>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</si>
  <si>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</si>
  <si>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</si>
  <si>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</si>
  <si>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</si>
  <si>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</si>
  <si>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</si>
  <si>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</si>
  <si>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</si>
  <si>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</si>
  <si>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</si>
  <si>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</si>
  <si>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</si>
  <si>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</si>
  <si>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</si>
  <si>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</si>
  <si>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</si>
  <si>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</si>
  <si>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42006</t>
  </si>
  <si>
    <t>DENDERMONDE</t>
  </si>
  <si>
    <t>Paarden&amp;pony's 200 - 600 kg</t>
  </si>
  <si>
    <t>Paarden&amp;pony's &lt; 200 kg</t>
  </si>
  <si>
    <t>referentietaak LNE (2017); Jaarverslag De Lijn (2015)</t>
  </si>
  <si>
    <t>op basis van VEA (maart 2018) en Inventaris Hernieuwbare Energiebronnen (juni 2018)</t>
  </si>
  <si>
    <t>VEA (januari 2017)</t>
  </si>
  <si>
    <t>VEA (juni 2018)</t>
  </si>
  <si>
    <t>Herman Fierlafijn</t>
  </si>
  <si>
    <t>Lindestraat 64 , 9200 Dendermonde</t>
  </si>
  <si>
    <t>WKK-0346 Herman Fierlafijn</t>
  </si>
  <si>
    <t>interne verbrandingsmotor</t>
  </si>
  <si>
    <t>WKK interne verbrandinsgmotor (gas)</t>
  </si>
  <si>
    <t>INTERGEM</t>
  </si>
  <si>
    <t>WKK-0487 AZ Sint-Blasius</t>
  </si>
  <si>
    <t>Kroonveldlaan 50 , 9200 Dendermonde</t>
  </si>
  <si>
    <t>Aquafin NV</t>
  </si>
  <si>
    <t>Dijkstraat 8 , 2630 Aartselaar</t>
  </si>
  <si>
    <t>BGS-0021 RWZI Dendermonde (NAI)</t>
  </si>
  <si>
    <t>biogas - RWZI</t>
  </si>
  <si>
    <t>niet WKK interne verbrandingsmotor (gas)</t>
  </si>
  <si>
    <t>Driebek 9 , 9200 Dendermonde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</si>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</sst>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320018.1738584105</c:v>
                </c:pt>
                <c:pt idx="1">
                  <c:v>210275.41383761616</c:v>
                </c:pt>
                <c:pt idx="2">
                  <c:v>2967.9189999999999</c:v>
                </c:pt>
                <c:pt idx="3">
                  <c:v>13983.678680739968</c:v>
                </c:pt>
                <c:pt idx="4">
                  <c:v>177753.82676102716</c:v>
                </c:pt>
                <c:pt idx="5">
                  <c:v>210757.27543980893</c:v>
                </c:pt>
                <c:pt idx="6">
                  <c:v>3980.0707379084979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79296"/>
        <c:axId val="183080832"/>
      </c:barChart>
      <c:catAx>
        <c:axId val="183079296"/>
        <c:scaling>
          <c:orientation val="minMax"/>
        </c:scaling>
        <c:axPos val="b"/>
        <c:numFmt formatCode="General" sourceLinked="0"/>
        <c:tickLblPos val="nextTo"/>
        <c:crossAx val="183080832"/>
        <c:crosses val="autoZero"/>
        <c:auto val="1"/>
        <c:lblAlgn val="ctr"/>
        <c:lblOffset val="100"/>
      </c:catAx>
      <c:valAx>
        <c:axId val="183080832"/>
        <c:scaling>
          <c:orientation val="minMax"/>
        </c:scaling>
        <c:axPos val="l"/>
        <c:majorGridlines/>
        <c:numFmt formatCode="#,##0" sourceLinked="1"/>
        <c:tickLblPos val="nextTo"/>
        <c:crossAx val="183079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320018.1738584105</c:v>
                </c:pt>
                <c:pt idx="1">
                  <c:v>210275.41383761616</c:v>
                </c:pt>
                <c:pt idx="2">
                  <c:v>2967.9189999999999</c:v>
                </c:pt>
                <c:pt idx="3">
                  <c:v>13983.678680739968</c:v>
                </c:pt>
                <c:pt idx="4">
                  <c:v>177753.82676102716</c:v>
                </c:pt>
                <c:pt idx="5">
                  <c:v>210757.27543980893</c:v>
                </c:pt>
                <c:pt idx="6">
                  <c:v>3980.0707379084979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59969.464283295354</c:v>
                </c:pt>
                <c:pt idx="1">
                  <c:v>41998.983730407832</c:v>
                </c:pt>
                <c:pt idx="2">
                  <c:v>556.83872230406746</c:v>
                </c:pt>
                <c:pt idx="3">
                  <c:v>3101.9630388945607</c:v>
                </c:pt>
                <c:pt idx="4">
                  <c:v>33712.474708704132</c:v>
                </c:pt>
                <c:pt idx="5">
                  <c:v>53942.55004774523</c:v>
                </c:pt>
                <c:pt idx="6">
                  <c:v>1030.7086117673889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75296"/>
      </c:barChart>
      <c:catAx>
        <c:axId val="183421952"/>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59969.464283295354</c:v>
                </c:pt>
                <c:pt idx="1">
                  <c:v>41998.983730407832</c:v>
                </c:pt>
                <c:pt idx="2">
                  <c:v>556.83872230406746</c:v>
                </c:pt>
                <c:pt idx="3">
                  <c:v>3101.9630388945607</c:v>
                </c:pt>
                <c:pt idx="4">
                  <c:v>33712.474708704132</c:v>
                </c:pt>
                <c:pt idx="5">
                  <c:v>53942.55004774523</c:v>
                </c:pt>
                <c:pt idx="6">
                  <c:v>1030.7086117673889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42006</v>
      </c>
      <c r="B6" s="415"/>
      <c r="C6" s="416"/>
    </row>
    <row r="7" spans="1:7" s="413" customFormat="1" ht="15.75" customHeight="1">
      <c r="A7" s="417" t="str">
        <f>txtMunicipality</f>
        <v>DENDERMONDE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19624</v>
      </c>
      <c r="C9" s="342">
        <v>20245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2077.0700000000002</v>
      </c>
    </row>
    <row r="15" spans="1:6">
      <c r="A15" s="348" t="s">
        <v>184</v>
      </c>
      <c r="B15" s="334">
        <v>463</v>
      </c>
    </row>
    <row r="16" spans="1:6">
      <c r="A16" s="348" t="s">
        <v>6</v>
      </c>
      <c r="B16" s="334">
        <v>727</v>
      </c>
    </row>
    <row r="17" spans="1:6">
      <c r="A17" s="348" t="s">
        <v>7</v>
      </c>
      <c r="B17" s="334">
        <v>890</v>
      </c>
    </row>
    <row r="18" spans="1:6">
      <c r="A18" s="348" t="s">
        <v>8</v>
      </c>
      <c r="B18" s="334">
        <v>1186</v>
      </c>
    </row>
    <row r="19" spans="1:6">
      <c r="A19" s="348" t="s">
        <v>9</v>
      </c>
      <c r="B19" s="334">
        <v>1027</v>
      </c>
    </row>
    <row r="20" spans="1:6">
      <c r="A20" s="348" t="s">
        <v>10</v>
      </c>
      <c r="B20" s="334">
        <v>944</v>
      </c>
    </row>
    <row r="21" spans="1:6">
      <c r="A21" s="348" t="s">
        <v>11</v>
      </c>
      <c r="B21" s="334">
        <v>0</v>
      </c>
    </row>
    <row r="22" spans="1:6">
      <c r="A22" s="348" t="s">
        <v>12</v>
      </c>
      <c r="B22" s="334">
        <v>3860</v>
      </c>
    </row>
    <row r="23" spans="1:6">
      <c r="A23" s="348" t="s">
        <v>13</v>
      </c>
      <c r="B23" s="334">
        <v>2</v>
      </c>
    </row>
    <row r="24" spans="1:6">
      <c r="A24" s="348" t="s">
        <v>14</v>
      </c>
      <c r="B24" s="334">
        <v>0</v>
      </c>
    </row>
    <row r="25" spans="1:6">
      <c r="A25" s="348" t="s">
        <v>15</v>
      </c>
      <c r="B25" s="334">
        <v>0</v>
      </c>
    </row>
    <row r="26" spans="1:6">
      <c r="A26" s="348" t="s">
        <v>16</v>
      </c>
      <c r="B26" s="334">
        <v>895</v>
      </c>
    </row>
    <row r="27" spans="1:6">
      <c r="A27" s="348" t="s">
        <v>17</v>
      </c>
      <c r="B27" s="334">
        <v>0</v>
      </c>
    </row>
    <row r="28" spans="1:6" s="356" customFormat="1">
      <c r="A28" s="355" t="s">
        <v>18</v>
      </c>
      <c r="B28" s="355">
        <v>84695</v>
      </c>
    </row>
    <row r="29" spans="1:6">
      <c r="A29" s="355" t="s">
        <v>812</v>
      </c>
      <c r="B29" s="355">
        <v>316</v>
      </c>
      <c r="C29" s="356"/>
      <c r="D29" s="356"/>
      <c r="E29" s="356"/>
      <c r="F29" s="356"/>
    </row>
    <row r="30" spans="1:6">
      <c r="A30" s="355" t="s">
        <v>813</v>
      </c>
      <c r="B30" s="341">
        <v>56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9</v>
      </c>
      <c r="D36" s="334">
        <v>2861049.3037999999</v>
      </c>
      <c r="E36" s="334">
        <v>5</v>
      </c>
      <c r="F36" s="334">
        <v>17418.208037</v>
      </c>
    </row>
    <row r="37" spans="1:6">
      <c r="A37" s="348" t="s">
        <v>25</v>
      </c>
      <c r="B37" s="348" t="s">
        <v>28</v>
      </c>
      <c r="C37" s="334">
        <v>0</v>
      </c>
      <c r="D37" s="334">
        <v>0</v>
      </c>
      <c r="E37" s="334">
        <v>0</v>
      </c>
      <c r="F37" s="334">
        <v>0</v>
      </c>
    </row>
    <row r="38" spans="1:6">
      <c r="A38" s="348" t="s">
        <v>25</v>
      </c>
      <c r="B38" s="348" t="s">
        <v>29</v>
      </c>
      <c r="C38" s="334">
        <v>0</v>
      </c>
      <c r="D38" s="334">
        <v>0</v>
      </c>
      <c r="E38" s="334">
        <v>2</v>
      </c>
      <c r="F38" s="334">
        <v>17969.687922000001</v>
      </c>
    </row>
    <row r="39" spans="1:6">
      <c r="A39" s="348" t="s">
        <v>30</v>
      </c>
      <c r="B39" s="348" t="s">
        <v>31</v>
      </c>
      <c r="C39" s="334">
        <v>14790</v>
      </c>
      <c r="D39" s="334">
        <v>215175295.80000001</v>
      </c>
      <c r="E39" s="334">
        <v>19733</v>
      </c>
      <c r="F39" s="334">
        <v>67369010.790000007</v>
      </c>
    </row>
    <row r="40" spans="1:6">
      <c r="A40" s="348" t="s">
        <v>30</v>
      </c>
      <c r="B40" s="348" t="s">
        <v>29</v>
      </c>
      <c r="C40" s="334">
        <v>0</v>
      </c>
      <c r="D40" s="334">
        <v>0</v>
      </c>
      <c r="E40" s="334">
        <v>0</v>
      </c>
      <c r="F40" s="334">
        <v>0</v>
      </c>
    </row>
    <row r="41" spans="1:6">
      <c r="A41" s="348" t="s">
        <v>32</v>
      </c>
      <c r="B41" s="348" t="s">
        <v>33</v>
      </c>
      <c r="C41" s="334">
        <v>171</v>
      </c>
      <c r="D41" s="334">
        <v>4265142.5213000001</v>
      </c>
      <c r="E41" s="334">
        <v>381</v>
      </c>
      <c r="F41" s="334">
        <v>13208344.137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16</v>
      </c>
      <c r="D44" s="334">
        <v>6788144.1277999999</v>
      </c>
      <c r="E44" s="334">
        <v>34</v>
      </c>
      <c r="F44" s="334">
        <v>9974614.0921999998</v>
      </c>
    </row>
    <row r="45" spans="1:6">
      <c r="A45" s="348" t="s">
        <v>32</v>
      </c>
      <c r="B45" s="348" t="s">
        <v>37</v>
      </c>
      <c r="C45" s="334">
        <v>0</v>
      </c>
      <c r="D45" s="334">
        <v>0</v>
      </c>
      <c r="E45" s="334">
        <v>5</v>
      </c>
      <c r="F45" s="334">
        <v>178113.13469000001</v>
      </c>
    </row>
    <row r="46" spans="1:6">
      <c r="A46" s="348" t="s">
        <v>32</v>
      </c>
      <c r="B46" s="348" t="s">
        <v>38</v>
      </c>
      <c r="C46" s="334">
        <v>0</v>
      </c>
      <c r="D46" s="334">
        <v>0</v>
      </c>
      <c r="E46" s="334">
        <v>0</v>
      </c>
      <c r="F46" s="334">
        <v>0</v>
      </c>
    </row>
    <row r="47" spans="1:6">
      <c r="A47" s="348" t="s">
        <v>32</v>
      </c>
      <c r="B47" s="348" t="s">
        <v>39</v>
      </c>
      <c r="C47" s="334">
        <v>13</v>
      </c>
      <c r="D47" s="334">
        <v>2166685.0207000002</v>
      </c>
      <c r="E47" s="334">
        <v>14</v>
      </c>
      <c r="F47" s="334">
        <v>546073.75401999999</v>
      </c>
    </row>
    <row r="48" spans="1:6">
      <c r="A48" s="348" t="s">
        <v>32</v>
      </c>
      <c r="B48" s="348" t="s">
        <v>29</v>
      </c>
      <c r="C48" s="334">
        <v>37</v>
      </c>
      <c r="D48" s="334">
        <v>58969246.586000003</v>
      </c>
      <c r="E48" s="334">
        <v>53</v>
      </c>
      <c r="F48" s="334">
        <v>28784642.364</v>
      </c>
    </row>
    <row r="49" spans="1:6">
      <c r="A49" s="348" t="s">
        <v>32</v>
      </c>
      <c r="B49" s="348" t="s">
        <v>40</v>
      </c>
      <c r="C49" s="334">
        <v>0</v>
      </c>
      <c r="D49" s="334">
        <v>0</v>
      </c>
      <c r="E49" s="334">
        <v>0</v>
      </c>
      <c r="F49" s="334">
        <v>0</v>
      </c>
    </row>
    <row r="50" spans="1:6">
      <c r="A50" s="348" t="s">
        <v>32</v>
      </c>
      <c r="B50" s="348" t="s">
        <v>41</v>
      </c>
      <c r="C50" s="334">
        <v>36</v>
      </c>
      <c r="D50" s="334">
        <v>5455710.5519000003</v>
      </c>
      <c r="E50" s="334">
        <v>53</v>
      </c>
      <c r="F50" s="334">
        <v>9832008.5868999995</v>
      </c>
    </row>
    <row r="51" spans="1:6">
      <c r="A51" s="348" t="s">
        <v>42</v>
      </c>
      <c r="B51" s="348" t="s">
        <v>43</v>
      </c>
      <c r="C51" s="334">
        <v>12</v>
      </c>
      <c r="D51" s="334">
        <v>216515.7899</v>
      </c>
      <c r="E51" s="334">
        <v>74</v>
      </c>
      <c r="F51" s="334">
        <v>938341.07054999995</v>
      </c>
    </row>
    <row r="52" spans="1:6">
      <c r="A52" s="348" t="s">
        <v>42</v>
      </c>
      <c r="B52" s="348" t="s">
        <v>29</v>
      </c>
      <c r="C52" s="334">
        <v>9</v>
      </c>
      <c r="D52" s="334">
        <v>2031656.9908</v>
      </c>
      <c r="E52" s="334">
        <v>9</v>
      </c>
      <c r="F52" s="334">
        <v>180355.68118000001</v>
      </c>
    </row>
    <row r="53" spans="1:6">
      <c r="A53" s="348" t="s">
        <v>44</v>
      </c>
      <c r="B53" s="348" t="s">
        <v>45</v>
      </c>
      <c r="C53" s="334">
        <v>357</v>
      </c>
      <c r="D53" s="334">
        <v>7185187.8909</v>
      </c>
      <c r="E53" s="334">
        <v>691</v>
      </c>
      <c r="F53" s="334">
        <v>2227844.9158999999</v>
      </c>
    </row>
    <row r="54" spans="1:6">
      <c r="A54" s="348" t="s">
        <v>46</v>
      </c>
      <c r="B54" s="348" t="s">
        <v>47</v>
      </c>
      <c r="C54" s="334">
        <v>0</v>
      </c>
      <c r="D54" s="334">
        <v>0</v>
      </c>
      <c r="E54" s="334">
        <v>1</v>
      </c>
      <c r="F54" s="334">
        <v>2967919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181</v>
      </c>
      <c r="D57" s="334">
        <v>14474590.175000001</v>
      </c>
      <c r="E57" s="334">
        <v>370</v>
      </c>
      <c r="F57" s="334">
        <v>12350549.402000001</v>
      </c>
    </row>
    <row r="58" spans="1:6">
      <c r="A58" s="348" t="s">
        <v>49</v>
      </c>
      <c r="B58" s="348" t="s">
        <v>51</v>
      </c>
      <c r="C58" s="334">
        <v>85</v>
      </c>
      <c r="D58" s="334">
        <v>19352293.168000001</v>
      </c>
      <c r="E58" s="334">
        <v>126</v>
      </c>
      <c r="F58" s="334">
        <v>8116446.5367000001</v>
      </c>
    </row>
    <row r="59" spans="1:6">
      <c r="A59" s="348" t="s">
        <v>49</v>
      </c>
      <c r="B59" s="348" t="s">
        <v>52</v>
      </c>
      <c r="C59" s="334">
        <v>359</v>
      </c>
      <c r="D59" s="334">
        <v>18924738.374000002</v>
      </c>
      <c r="E59" s="334">
        <v>571</v>
      </c>
      <c r="F59" s="334">
        <v>25083632.600000001</v>
      </c>
    </row>
    <row r="60" spans="1:6">
      <c r="A60" s="348" t="s">
        <v>49</v>
      </c>
      <c r="B60" s="348" t="s">
        <v>53</v>
      </c>
      <c r="C60" s="334">
        <v>197</v>
      </c>
      <c r="D60" s="334">
        <v>7759877.6978000002</v>
      </c>
      <c r="E60" s="334">
        <v>234</v>
      </c>
      <c r="F60" s="334">
        <v>5099964.0159999998</v>
      </c>
    </row>
    <row r="61" spans="1:6">
      <c r="A61" s="348" t="s">
        <v>49</v>
      </c>
      <c r="B61" s="348" t="s">
        <v>54</v>
      </c>
      <c r="C61" s="334">
        <v>470</v>
      </c>
      <c r="D61" s="334">
        <v>19259785.298</v>
      </c>
      <c r="E61" s="334">
        <v>932</v>
      </c>
      <c r="F61" s="334">
        <v>22837527.710999999</v>
      </c>
    </row>
    <row r="62" spans="1:6">
      <c r="A62" s="348" t="s">
        <v>49</v>
      </c>
      <c r="B62" s="348" t="s">
        <v>55</v>
      </c>
      <c r="C62" s="334">
        <v>56</v>
      </c>
      <c r="D62" s="334">
        <v>9347014.6467000004</v>
      </c>
      <c r="E62" s="334">
        <v>63</v>
      </c>
      <c r="F62" s="334">
        <v>2622543.3816999998</v>
      </c>
    </row>
    <row r="63" spans="1:6">
      <c r="A63" s="348" t="s">
        <v>49</v>
      </c>
      <c r="B63" s="348" t="s">
        <v>29</v>
      </c>
      <c r="C63" s="334">
        <v>100</v>
      </c>
      <c r="D63" s="334">
        <v>27095660.613000002</v>
      </c>
      <c r="E63" s="334">
        <v>97</v>
      </c>
      <c r="F63" s="334">
        <v>3765917.1985999998</v>
      </c>
    </row>
    <row r="64" spans="1:6">
      <c r="A64" s="348" t="s">
        <v>56</v>
      </c>
      <c r="B64" s="348" t="s">
        <v>57</v>
      </c>
      <c r="C64" s="334">
        <v>0</v>
      </c>
      <c r="D64" s="334">
        <v>0</v>
      </c>
      <c r="E64" s="334">
        <v>0</v>
      </c>
      <c r="F64" s="334">
        <v>0</v>
      </c>
    </row>
    <row r="65" spans="1:6">
      <c r="A65" s="348" t="s">
        <v>56</v>
      </c>
      <c r="B65" s="348" t="s">
        <v>29</v>
      </c>
      <c r="C65" s="334">
        <v>6</v>
      </c>
      <c r="D65" s="334">
        <v>196621.73269</v>
      </c>
      <c r="E65" s="334">
        <v>9</v>
      </c>
      <c r="F65" s="334">
        <v>47418.871056000004</v>
      </c>
    </row>
    <row r="66" spans="1:6">
      <c r="A66" s="348" t="s">
        <v>56</v>
      </c>
      <c r="B66" s="348" t="s">
        <v>58</v>
      </c>
      <c r="C66" s="334">
        <v>4</v>
      </c>
      <c r="D66" s="334">
        <v>337769.33026999998</v>
      </c>
      <c r="E66" s="334">
        <v>23</v>
      </c>
      <c r="F66" s="334">
        <v>473347.48492000002</v>
      </c>
    </row>
    <row r="67" spans="1:6">
      <c r="A67" s="355" t="s">
        <v>56</v>
      </c>
      <c r="B67" s="355" t="s">
        <v>59</v>
      </c>
      <c r="C67" s="334">
        <v>0</v>
      </c>
      <c r="D67" s="334">
        <v>0</v>
      </c>
      <c r="E67" s="334">
        <v>0</v>
      </c>
      <c r="F67" s="334">
        <v>0</v>
      </c>
    </row>
    <row r="68" spans="1:6">
      <c r="A68" s="341" t="s">
        <v>56</v>
      </c>
      <c r="B68" s="341" t="s">
        <v>60</v>
      </c>
      <c r="C68" s="334">
        <v>14</v>
      </c>
      <c r="D68" s="334">
        <v>2131953.7603000002</v>
      </c>
      <c r="E68" s="334">
        <v>25</v>
      </c>
      <c r="F68" s="334">
        <v>1288471.9157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174392917</v>
      </c>
      <c r="E73" s="476">
        <v>179766559.4539794</v>
      </c>
    </row>
    <row r="74" spans="1:6">
      <c r="A74" s="348" t="s">
        <v>64</v>
      </c>
      <c r="B74" s="348" t="s">
        <v>667</v>
      </c>
      <c r="C74" s="1212" t="s">
        <v>669</v>
      </c>
      <c r="D74" s="476">
        <v>19851294.630226046</v>
      </c>
      <c r="E74" s="476">
        <v>20189663.07806731</v>
      </c>
    </row>
    <row r="75" spans="1:6">
      <c r="A75" s="348" t="s">
        <v>65</v>
      </c>
      <c r="B75" s="348" t="s">
        <v>666</v>
      </c>
      <c r="C75" s="1212" t="s">
        <v>670</v>
      </c>
      <c r="D75" s="476">
        <v>51901688</v>
      </c>
      <c r="E75" s="476">
        <v>53743326.00966312</v>
      </c>
    </row>
    <row r="76" spans="1:6">
      <c r="A76" s="348" t="s">
        <v>65</v>
      </c>
      <c r="B76" s="348" t="s">
        <v>667</v>
      </c>
      <c r="C76" s="1212" t="s">
        <v>671</v>
      </c>
      <c r="D76" s="476">
        <v>2091012.6302260454</v>
      </c>
      <c r="E76" s="476">
        <v>2127159.572202635</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1068992.7395479092</v>
      </c>
      <c r="C83" s="476">
        <v>1068992.7395479092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15697.287558210559</v>
      </c>
    </row>
    <row r="91" spans="1:6">
      <c r="A91" s="348" t="s">
        <v>68</v>
      </c>
      <c r="B91" s="334">
        <v>6520.1455775997556</v>
      </c>
    </row>
    <row r="92" spans="1:6">
      <c r="A92" s="341" t="s">
        <v>69</v>
      </c>
      <c r="B92" s="342">
        <v>9512.7653159165948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10345</v>
      </c>
    </row>
    <row r="98" spans="1:6">
      <c r="A98" s="348" t="s">
        <v>72</v>
      </c>
      <c r="B98" s="334">
        <v>6</v>
      </c>
    </row>
    <row r="99" spans="1:6">
      <c r="A99" s="348" t="s">
        <v>73</v>
      </c>
      <c r="B99" s="334">
        <v>169</v>
      </c>
    </row>
    <row r="100" spans="1:6">
      <c r="A100" s="348" t="s">
        <v>74</v>
      </c>
      <c r="B100" s="334">
        <v>1293</v>
      </c>
    </row>
    <row r="101" spans="1:6">
      <c r="A101" s="348" t="s">
        <v>75</v>
      </c>
      <c r="B101" s="334">
        <v>147</v>
      </c>
    </row>
    <row r="102" spans="1:6">
      <c r="A102" s="348" t="s">
        <v>76</v>
      </c>
      <c r="B102" s="334">
        <v>424</v>
      </c>
    </row>
    <row r="103" spans="1:6">
      <c r="A103" s="348" t="s">
        <v>77</v>
      </c>
      <c r="B103" s="334">
        <v>590</v>
      </c>
    </row>
    <row r="104" spans="1:6">
      <c r="A104" s="348" t="s">
        <v>78</v>
      </c>
      <c r="B104" s="334">
        <v>4474</v>
      </c>
    </row>
    <row r="105" spans="1:6">
      <c r="A105" s="341" t="s">
        <v>79</v>
      </c>
      <c r="B105" s="341">
        <v>17</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51</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184</v>
      </c>
    </row>
    <row r="130" spans="1:6">
      <c r="A130" s="348" t="s">
        <v>295</v>
      </c>
      <c r="B130" s="334">
        <v>2</v>
      </c>
    </row>
    <row r="131" spans="1:6">
      <c r="A131" s="348" t="s">
        <v>296</v>
      </c>
      <c r="B131" s="334">
        <v>3</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225343.17783532577</v>
      </c>
      <c r="C3" s="43" t="s">
        <v>170</v>
      </c>
      <c r="D3" s="43"/>
      <c r="E3" s="154"/>
      <c r="F3" s="43"/>
      <c r="G3" s="43"/>
      <c r="H3" s="43"/>
      <c r="I3" s="43"/>
      <c r="J3" s="43"/>
      <c r="K3" s="96"/>
    </row>
    <row r="4" spans="1:11">
      <c r="A4" s="383" t="s">
        <v>171</v>
      </c>
      <c r="B4" s="49">
        <f>IF(ISERROR('SEAP template'!B69),0,'SEAP template'!B69)</f>
        <v>36698.198451726908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588.17647058823525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0.18761924510206227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840.2521008403362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3612.8571428571431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0.23257274440025119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2967.9189999999999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2967.9189999999999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0.18761924510206227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556.83872230406746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67369.01079</v>
      </c>
      <c r="C5" s="17">
        <f>IF(ISERROR('Eigen informatie GS &amp; warmtenet'!B57),0,'Eigen informatie GS &amp; warmtenet'!B57)</f>
        <v>0</v>
      </c>
      <c r="D5" s="30">
        <f>(SUM(HH_hh_gas_kWh,HH_rest_gas_kWh)/1000)*0.902</f>
        <v>194088.11681160002</v>
      </c>
      <c r="E5" s="17">
        <f>B46*B57</f>
        <v>9818.5670673853037</v>
      </c>
      <c r="F5" s="17">
        <f>B51*B62</f>
        <v>11526.009984457072</v>
      </c>
      <c r="G5" s="18"/>
      <c r="H5" s="17"/>
      <c r="I5" s="17"/>
      <c r="J5" s="17">
        <f>B50*B61+C50*C61</f>
        <v>4503.8914075941757</v>
      </c>
      <c r="K5" s="17"/>
      <c r="L5" s="17"/>
      <c r="M5" s="17"/>
      <c r="N5" s="17">
        <f>B48*B59+C48*C59</f>
        <v>24255.328886440835</v>
      </c>
      <c r="O5" s="17">
        <f>B69*B70*B71</f>
        <v>373.63666666666671</v>
      </c>
      <c r="P5" s="17">
        <f>B77*B78*B79/1000-B77*B78*B79/1000/B80</f>
        <v>1563.4666666666667</v>
      </c>
    </row>
    <row r="6" spans="1:16">
      <c r="A6" s="16" t="s">
        <v>624</v>
      </c>
      <c r="B6" s="843">
        <f>kWh_PV_kleiner_dan_10kW</f>
        <v>6520.1455775997556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73889.15636759976</v>
      </c>
      <c r="C8" s="21">
        <f>C5</f>
        <v>0</v>
      </c>
      <c r="D8" s="21">
        <f>D5</f>
        <v>194088.11681160002</v>
      </c>
      <c r="E8" s="21">
        <f>E5</f>
        <v>9818.5670673853037</v>
      </c>
      <c r="F8" s="21">
        <f>F5</f>
        <v>11526.009984457072</v>
      </c>
      <c r="G8" s="21"/>
      <c r="H8" s="21"/>
      <c r="I8" s="21"/>
      <c r="J8" s="21">
        <f>J5</f>
        <v>4503.8914075941757</v>
      </c>
      <c r="K8" s="21"/>
      <c r="L8" s="21">
        <f>L5</f>
        <v>0</v>
      </c>
      <c r="M8" s="21">
        <f>M5</f>
        <v>0</v>
      </c>
      <c r="N8" s="21">
        <f>N5</f>
        <v>24255.328886440835</v>
      </c>
      <c r="O8" s="21">
        <f>O5</f>
        <v>373.63666666666671</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0.18761924510206227</v>
      </c>
      <c r="C10" s="25">
        <f ca="1">'EF ele_warmte'!B22</f>
        <v>0.23257274440025119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13863.027738917304</v>
      </c>
      <c r="C12" s="23">
        <f ca="1">C10*C8</f>
        <v>0</v>
      </c>
      <c r="D12" s="23">
        <f>D8*D10</f>
        <v>39205.799595943208</v>
      </c>
      <c r="E12" s="23">
        <f>E10*E8</f>
        <v>2228.8147242964642</v>
      </c>
      <c r="F12" s="23">
        <f>F10*F8</f>
        <v>3077.4446658500383</v>
      </c>
      <c r="G12" s="23"/>
      <c r="H12" s="23"/>
      <c r="I12" s="23"/>
      <c r="J12" s="23">
        <f>J10*J8</f>
        <v>1594.3775582883382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10345</v>
      </c>
      <c r="C18" s="166" t="s">
        <v>111</v>
      </c>
      <c r="D18" s="228"/>
      <c r="E18" s="15"/>
    </row>
    <row r="19" spans="1:7">
      <c r="A19" s="171" t="s">
        <v>72</v>
      </c>
      <c r="B19" s="37">
        <f>aantalw2001_ander</f>
        <v>6</v>
      </c>
      <c r="C19" s="166" t="s">
        <v>111</v>
      </c>
      <c r="D19" s="229"/>
      <c r="E19" s="15"/>
    </row>
    <row r="20" spans="1:7">
      <c r="A20" s="171" t="s">
        <v>73</v>
      </c>
      <c r="B20" s="37">
        <f>aantalw2001_propaan</f>
        <v>169</v>
      </c>
      <c r="C20" s="167">
        <f>IF(ISERROR(B20/SUM($B$20,$B$21,$B$22)*100),0,B20/SUM($B$20,$B$21,$B$22)*100)</f>
        <v>10.503418272218768</v>
      </c>
      <c r="D20" s="229"/>
      <c r="E20" s="15"/>
    </row>
    <row r="21" spans="1:7">
      <c r="A21" s="171" t="s">
        <v>74</v>
      </c>
      <c r="B21" s="37">
        <f>aantalw2001_elektriciteit</f>
        <v>1293</v>
      </c>
      <c r="C21" s="167">
        <f>IF(ISERROR(B21/SUM($B$20,$B$21,$B$22)*100),0,B21/SUM($B$20,$B$21,$B$22)*100)</f>
        <v>80.360472343070228</v>
      </c>
      <c r="D21" s="229"/>
      <c r="E21" s="15"/>
    </row>
    <row r="22" spans="1:7">
      <c r="A22" s="171" t="s">
        <v>75</v>
      </c>
      <c r="B22" s="37">
        <f>aantalw2001_hout</f>
        <v>147</v>
      </c>
      <c r="C22" s="167">
        <f>IF(ISERROR(B22/SUM($B$20,$B$21,$B$22)*100),0,B22/SUM($B$20,$B$21,$B$22)*100)</f>
        <v>9.136109384711002</v>
      </c>
      <c r="D22" s="229"/>
      <c r="E22" s="15"/>
    </row>
    <row r="23" spans="1:7">
      <c r="A23" s="171" t="s">
        <v>76</v>
      </c>
      <c r="B23" s="37">
        <f>aantalw2001_niet_gespec</f>
        <v>424</v>
      </c>
      <c r="C23" s="166" t="s">
        <v>111</v>
      </c>
      <c r="D23" s="228"/>
      <c r="E23" s="15"/>
    </row>
    <row r="24" spans="1:7">
      <c r="A24" s="171" t="s">
        <v>77</v>
      </c>
      <c r="B24" s="37">
        <f>aantalw2001_steenkool</f>
        <v>590</v>
      </c>
      <c r="C24" s="166" t="s">
        <v>111</v>
      </c>
      <c r="D24" s="229"/>
      <c r="E24" s="15"/>
    </row>
    <row r="25" spans="1:7">
      <c r="A25" s="171" t="s">
        <v>78</v>
      </c>
      <c r="B25" s="37">
        <f>aantalw2001_stookolie</f>
        <v>4474</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698</v>
      </c>
      <c r="B28" s="37">
        <f>aantalHuishoudens2011</f>
        <v>19624</v>
      </c>
      <c r="C28" s="36"/>
      <c r="D28" s="228"/>
    </row>
    <row r="29" spans="1:7" s="15" customFormat="1">
      <c r="A29" s="230" t="s">
        <v>699</v>
      </c>
      <c r="B29" s="37">
        <f>SUM(HH_hh_gas_aantal,HH_rest_gas_aantal)</f>
        <v>14790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14790</v>
      </c>
      <c r="C32" s="167">
        <f>IF(ISERROR(B32/SUM($B$32,$B$34,$B$35,$B$36,$B$38,$B$39)*100),0,B32/SUM($B$32,$B$34,$B$35,$B$36,$B$38,$B$39)*100)</f>
        <v>75.683143997543752</v>
      </c>
      <c r="D32" s="233"/>
      <c r="G32" s="15"/>
    </row>
    <row r="33" spans="1:7">
      <c r="A33" s="171" t="s">
        <v>72</v>
      </c>
      <c r="B33" s="34" t="s">
        <v>111</v>
      </c>
      <c r="C33" s="167"/>
      <c r="D33" s="233"/>
      <c r="G33" s="15"/>
    </row>
    <row r="34" spans="1:7">
      <c r="A34" s="171" t="s">
        <v>73</v>
      </c>
      <c r="B34" s="33">
        <f>IF((($B$28-$B$32-$B$39-$B$77-$B$38)*C20/100)&lt;0,0,($B$28-$B$32-$B$39-$B$77-$B$38)*C20/100)</f>
        <v>434.10627719080168</v>
      </c>
      <c r="C34" s="167">
        <f>IF(ISERROR(B34/SUM($B$32,$B$34,$B$35,$B$36,$B$38,$B$39)*100),0,B34/SUM($B$32,$B$34,$B$35,$B$36,$B$38,$B$39)*100)</f>
        <v>2.2214014798423993</v>
      </c>
      <c r="D34" s="233"/>
      <c r="G34" s="15"/>
    </row>
    <row r="35" spans="1:7">
      <c r="A35" s="171" t="s">
        <v>74</v>
      </c>
      <c r="B35" s="33">
        <f>IF((($B$28-$B$32-$B$39-$B$77-$B$38)*C21/100)&lt;0,0,($B$28-$B$32-$B$39-$B$77-$B$38)*C21/100)</f>
        <v>3321.2983219390926</v>
      </c>
      <c r="C35" s="167">
        <f>IF(ISERROR(B35/SUM($B$32,$B$34,$B$35,$B$36,$B$38,$B$39)*100),0,B35/SUM($B$32,$B$34,$B$35,$B$36,$B$38,$B$39)*100)</f>
        <v>16.995692978912562</v>
      </c>
      <c r="D35" s="233"/>
      <c r="G35" s="15"/>
    </row>
    <row r="36" spans="1:7">
      <c r="A36" s="171" t="s">
        <v>75</v>
      </c>
      <c r="B36" s="33">
        <f>IF((($B$28-$B$32-$B$39-$B$77-$B$38)*C22/100)&lt;0,0,($B$28-$B$32-$B$39-$B$77-$B$38)*C22/100)</f>
        <v>377.59540087010572</v>
      </c>
      <c r="C36" s="167">
        <f>IF(ISERROR(B36/SUM($B$32,$B$34,$B$35,$B$36,$B$38,$B$39)*100),0,B36/SUM($B$32,$B$34,$B$35,$B$36,$B$38,$B$39)*100)</f>
        <v>1.9322249558392475</v>
      </c>
      <c r="D36" s="233"/>
      <c r="G36" s="15"/>
    </row>
    <row r="37" spans="1:7">
      <c r="A37" s="171" t="s">
        <v>76</v>
      </c>
      <c r="B37" s="34" t="s">
        <v>111</v>
      </c>
      <c r="C37" s="167"/>
      <c r="D37" s="173"/>
      <c r="G37" s="15"/>
    </row>
    <row r="38" spans="1:7">
      <c r="A38" s="171" t="s">
        <v>77</v>
      </c>
      <c r="B38" s="33">
        <f>IF((B24-(B29-B18)*0.1)&lt;0,0,B24-(B29-B18)*0.1)</f>
        <v>145.5</v>
      </c>
      <c r="C38" s="167">
        <f>IF(ISERROR(B38/SUM($B$32,$B$34,$B$35,$B$36,$B$38,$B$39)*100),0,B38/SUM($B$32,$B$34,$B$35,$B$36,$B$38,$B$39)*100)</f>
        <v>0.74455019957015656</v>
      </c>
      <c r="D38" s="234"/>
      <c r="G38" s="15"/>
    </row>
    <row r="39" spans="1:7">
      <c r="A39" s="171" t="s">
        <v>78</v>
      </c>
      <c r="B39" s="33">
        <f>IF((B25-(B29-B18))&lt;0,0,B25-(B29-B18)*0.9)</f>
        <v>473.5</v>
      </c>
      <c r="C39" s="167">
        <f>IF(ISERROR(B39/SUM($B$32,$B$34,$B$35,$B$36,$B$38,$B$39)*100),0,B39/SUM($B$32,$B$34,$B$35,$B$36,$B$38,$B$39)*100)</f>
        <v>2.4229863882918843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14790</v>
      </c>
      <c r="C44" s="34" t="s">
        <v>111</v>
      </c>
      <c r="D44" s="174"/>
    </row>
    <row r="45" spans="1:7">
      <c r="A45" s="171" t="s">
        <v>72</v>
      </c>
      <c r="B45" s="33" t="str">
        <f t="shared" si="0"/>
        <v>-</v>
      </c>
      <c r="C45" s="34" t="s">
        <v>111</v>
      </c>
      <c r="D45" s="174"/>
    </row>
    <row r="46" spans="1:7">
      <c r="A46" s="171" t="s">
        <v>73</v>
      </c>
      <c r="B46" s="33">
        <f t="shared" si="0"/>
        <v>434.10627719080168</v>
      </c>
      <c r="C46" s="34" t="s">
        <v>111</v>
      </c>
      <c r="D46" s="174"/>
    </row>
    <row r="47" spans="1:7">
      <c r="A47" s="171" t="s">
        <v>74</v>
      </c>
      <c r="B47" s="33">
        <f t="shared" si="0"/>
        <v>3321.2983219390926</v>
      </c>
      <c r="C47" s="34" t="s">
        <v>111</v>
      </c>
      <c r="D47" s="174"/>
    </row>
    <row r="48" spans="1:7">
      <c r="A48" s="171" t="s">
        <v>75</v>
      </c>
      <c r="B48" s="33">
        <f t="shared" si="0"/>
        <v>377.59540087010572</v>
      </c>
      <c r="C48" s="33">
        <f>B48*10</f>
        <v>3775.9540087010573</v>
      </c>
      <c r="D48" s="234"/>
    </row>
    <row r="49" spans="1:6">
      <c r="A49" s="171" t="s">
        <v>76</v>
      </c>
      <c r="B49" s="33" t="str">
        <f t="shared" si="0"/>
        <v>-</v>
      </c>
      <c r="C49" s="34" t="s">
        <v>111</v>
      </c>
      <c r="D49" s="234"/>
    </row>
    <row r="50" spans="1:6">
      <c r="A50" s="171" t="s">
        <v>77</v>
      </c>
      <c r="B50" s="33">
        <f t="shared" si="0"/>
        <v>145.5</v>
      </c>
      <c r="C50" s="33">
        <f>B50*2</f>
        <v>291</v>
      </c>
      <c r="D50" s="234"/>
    </row>
    <row r="51" spans="1:6">
      <c r="A51" s="171" t="s">
        <v>78</v>
      </c>
      <c r="B51" s="33">
        <f t="shared" si="0"/>
        <v>473.5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79876.580845999997</v>
      </c>
      <c r="C5" s="17">
        <f>IF(ISERROR('Eigen informatie GS &amp; warmtenet'!B58),0,'Eigen informatie GS &amp; warmtenet'!B58)</f>
        <v>0</v>
      </c>
      <c r="D5" s="30">
        <f>SUM(D6:D12)</f>
        <v>104824.99189519501</v>
      </c>
      <c r="E5" s="17">
        <f>SUM(E6:E12)</f>
        <v>1349.9615758964787</v>
      </c>
      <c r="F5" s="17">
        <f>SUM(F6:F12)</f>
        <v>19534.333769074397</v>
      </c>
      <c r="G5" s="18"/>
      <c r="H5" s="17"/>
      <c r="I5" s="17"/>
      <c r="J5" s="17">
        <f>SUM(J6:J12)</f>
        <v>0</v>
      </c>
      <c r="K5" s="17"/>
      <c r="L5" s="17"/>
      <c r="M5" s="17"/>
      <c r="N5" s="17">
        <f>SUM(N6:N12)</f>
        <v>10219.5047990693</v>
      </c>
      <c r="O5" s="17">
        <f>B38*B39*B40</f>
        <v>3.1266666666666669</v>
      </c>
      <c r="P5" s="17">
        <f>B46*B47*B48/1000-B46*B47*B48/1000/B49</f>
        <v>57.2</v>
      </c>
      <c r="R5" s="32"/>
    </row>
    <row r="6" spans="1:18">
      <c r="A6" s="32" t="s">
        <v>54</v>
      </c>
      <c r="B6" s="37">
        <f>B26</f>
        <v>22837.527710999999</v>
      </c>
      <c r="C6" s="33"/>
      <c r="D6" s="37">
        <f>IF(ISERROR(TER_kantoor_gas_kWh/1000),0,TER_kantoor_gas_kWh/1000)*0.902</f>
        <v>17372.326338796</v>
      </c>
      <c r="E6" s="33">
        <f>$C$26*'E Balans VL '!I12/100/3.6*1000000</f>
        <v>298.97136949191224</v>
      </c>
      <c r="F6" s="33">
        <f>$C$26*('E Balans VL '!L12+'E Balans VL '!N12)/100/3.6*1000000</f>
        <v>5823.3335721091744</v>
      </c>
      <c r="G6" s="34"/>
      <c r="H6" s="33"/>
      <c r="I6" s="33"/>
      <c r="J6" s="33">
        <f>$C$26*('E Balans VL '!D12+'E Balans VL '!E12)/100/3.6*1000000</f>
        <v>0</v>
      </c>
      <c r="K6" s="33"/>
      <c r="L6" s="33"/>
      <c r="M6" s="33"/>
      <c r="N6" s="33">
        <f>$C$26*'E Balans VL '!Y12/100/3.6*1000000</f>
        <v>22.914431862324655</v>
      </c>
      <c r="O6" s="33"/>
      <c r="P6" s="33"/>
      <c r="R6" s="32"/>
    </row>
    <row r="7" spans="1:18">
      <c r="A7" s="32" t="s">
        <v>53</v>
      </c>
      <c r="B7" s="37">
        <f t="shared" ref="B7:B12" si="0">B27</f>
        <v>5099.9640159999999</v>
      </c>
      <c r="C7" s="33"/>
      <c r="D7" s="37">
        <f>IF(ISERROR(TER_horeca_gas_kWh/1000),0,TER_horeca_gas_kWh/1000)*0.902</f>
        <v>6999.4096834156007</v>
      </c>
      <c r="E7" s="33">
        <f>$C$27*'E Balans VL '!I9/100/3.6*1000000</f>
        <v>168.77778688915424</v>
      </c>
      <c r="F7" s="33">
        <f>$C$27*('E Balans VL '!L9+'E Balans VL '!N9)/100/3.6*1000000</f>
        <v>2192.9649814503869</v>
      </c>
      <c r="G7" s="34"/>
      <c r="H7" s="33"/>
      <c r="I7" s="33"/>
      <c r="J7" s="33">
        <f>$C$27*('E Balans VL '!D9+'E Balans VL '!E9)/100/3.6*1000000</f>
        <v>0</v>
      </c>
      <c r="K7" s="33"/>
      <c r="L7" s="33"/>
      <c r="M7" s="33"/>
      <c r="N7" s="33">
        <f>$C$27*'E Balans VL '!Y9/100/3.6*1000000</f>
        <v>1.2276353982560786</v>
      </c>
      <c r="O7" s="33"/>
      <c r="P7" s="33"/>
      <c r="R7" s="32"/>
    </row>
    <row r="8" spans="1:18">
      <c r="A8" s="6" t="s">
        <v>52</v>
      </c>
      <c r="B8" s="37">
        <f t="shared" si="0"/>
        <v>25083.632600000001</v>
      </c>
      <c r="C8" s="33"/>
      <c r="D8" s="37">
        <f>IF(ISERROR(TER_handel_gas_kWh/1000),0,TER_handel_gas_kWh/1000)*0.902</f>
        <v>17070.114013348</v>
      </c>
      <c r="E8" s="33">
        <f>$C$28*'E Balans VL '!I13/100/3.6*1000000</f>
        <v>791.67777150575932</v>
      </c>
      <c r="F8" s="33">
        <f>$C$28*('E Balans VL '!L13+'E Balans VL '!N13)/100/3.6*1000000</f>
        <v>4919.3420482072079</v>
      </c>
      <c r="G8" s="34"/>
      <c r="H8" s="33"/>
      <c r="I8" s="33"/>
      <c r="J8" s="33">
        <f>$C$28*('E Balans VL '!D13+'E Balans VL '!E13)/100/3.6*1000000</f>
        <v>0</v>
      </c>
      <c r="K8" s="33"/>
      <c r="L8" s="33"/>
      <c r="M8" s="33"/>
      <c r="N8" s="33">
        <f>$C$28*'E Balans VL '!Y13/100/3.6*1000000</f>
        <v>29.769401968716206</v>
      </c>
      <c r="O8" s="33"/>
      <c r="P8" s="33"/>
      <c r="R8" s="32"/>
    </row>
    <row r="9" spans="1:18">
      <c r="A9" s="32" t="s">
        <v>51</v>
      </c>
      <c r="B9" s="37">
        <f t="shared" si="0"/>
        <v>8116.4465367000003</v>
      </c>
      <c r="C9" s="33"/>
      <c r="D9" s="37">
        <f>IF(ISERROR(TER_gezond_gas_kWh/1000),0,TER_gezond_gas_kWh/1000)*0.902</f>
        <v>17455.768437536</v>
      </c>
      <c r="E9" s="33">
        <f>$C$29*'E Balans VL '!I10/100/3.6*1000000</f>
        <v>1.0391425980726521</v>
      </c>
      <c r="F9" s="33">
        <f>$C$29*('E Balans VL '!L10+'E Balans VL '!N10)/100/3.6*1000000</f>
        <v>1690.996005045258</v>
      </c>
      <c r="G9" s="34"/>
      <c r="H9" s="33"/>
      <c r="I9" s="33"/>
      <c r="J9" s="33">
        <f>$C$29*('E Balans VL '!D10+'E Balans VL '!E10)/100/3.6*1000000</f>
        <v>0</v>
      </c>
      <c r="K9" s="33"/>
      <c r="L9" s="33"/>
      <c r="M9" s="33"/>
      <c r="N9" s="33">
        <f>$C$29*'E Balans VL '!Y10/100/3.6*1000000</f>
        <v>95.331500910521939</v>
      </c>
      <c r="O9" s="33"/>
      <c r="P9" s="33"/>
      <c r="R9" s="32"/>
    </row>
    <row r="10" spans="1:18">
      <c r="A10" s="32" t="s">
        <v>50</v>
      </c>
      <c r="B10" s="37">
        <f t="shared" si="0"/>
        <v>12350.549402000001</v>
      </c>
      <c r="C10" s="33"/>
      <c r="D10" s="37">
        <f>IF(ISERROR(TER_ander_gas_kWh/1000),0,TER_ander_gas_kWh/1000)*0.902</f>
        <v>13056.080337850002</v>
      </c>
      <c r="E10" s="33">
        <f>$C$30*'E Balans VL '!I14/100/3.6*1000000</f>
        <v>18.572321876396735</v>
      </c>
      <c r="F10" s="33">
        <f>$C$30*('E Balans VL '!L14+'E Balans VL '!N14)/100/3.6*1000000</f>
        <v>2726.603192979052</v>
      </c>
      <c r="G10" s="34"/>
      <c r="H10" s="33"/>
      <c r="I10" s="33"/>
      <c r="J10" s="33">
        <f>$C$30*('E Balans VL '!D14+'E Balans VL '!E14)/100/3.6*1000000</f>
        <v>0</v>
      </c>
      <c r="K10" s="33"/>
      <c r="L10" s="33"/>
      <c r="M10" s="33"/>
      <c r="N10" s="33">
        <f>$C$30*'E Balans VL '!Y14/100/3.6*1000000</f>
        <v>9733.0640894128792</v>
      </c>
      <c r="O10" s="33"/>
      <c r="P10" s="33"/>
      <c r="R10" s="32"/>
    </row>
    <row r="11" spans="1:18">
      <c r="A11" s="32" t="s">
        <v>55</v>
      </c>
      <c r="B11" s="37">
        <f t="shared" si="0"/>
        <v>2622.5433816999998</v>
      </c>
      <c r="C11" s="33"/>
      <c r="D11" s="37">
        <f>IF(ISERROR(TER_onderwijs_gas_kWh/1000),0,TER_onderwijs_gas_kWh/1000)*0.902</f>
        <v>8431.0072113234</v>
      </c>
      <c r="E11" s="33">
        <f>$C$31*'E Balans VL '!I11/100/3.6*1000000</f>
        <v>4.6185186635494269</v>
      </c>
      <c r="F11" s="33">
        <f>$C$31*('E Balans VL '!L11+'E Balans VL '!N11)/100/3.6*1000000</f>
        <v>1210.8757341748951</v>
      </c>
      <c r="G11" s="34"/>
      <c r="H11" s="33"/>
      <c r="I11" s="33"/>
      <c r="J11" s="33">
        <f>$C$31*('E Balans VL '!D11+'E Balans VL '!E11)/100/3.6*1000000</f>
        <v>0</v>
      </c>
      <c r="K11" s="33"/>
      <c r="L11" s="33"/>
      <c r="M11" s="33"/>
      <c r="N11" s="33">
        <f>$C$31*'E Balans VL '!Y11/100/3.6*1000000</f>
        <v>4.8858345866791852</v>
      </c>
      <c r="O11" s="33"/>
      <c r="P11" s="33"/>
      <c r="R11" s="32"/>
    </row>
    <row r="12" spans="1:18">
      <c r="A12" s="32" t="s">
        <v>260</v>
      </c>
      <c r="B12" s="37">
        <f t="shared" si="0"/>
        <v>3765.9171985999997</v>
      </c>
      <c r="C12" s="33"/>
      <c r="D12" s="37">
        <f>IF(ISERROR(TER_rest_gas_kWh/1000),0,TER_rest_gas_kWh/1000)*0.902</f>
        <v>24440.285872926001</v>
      </c>
      <c r="E12" s="33">
        <f>$C$32*'E Balans VL '!I8/100/3.6*1000000</f>
        <v>66.304664871634316</v>
      </c>
      <c r="F12" s="33">
        <f>$C$32*('E Balans VL '!L8+'E Balans VL '!N8)/100/3.6*1000000</f>
        <v>970.21823510842228</v>
      </c>
      <c r="G12" s="34"/>
      <c r="H12" s="33"/>
      <c r="I12" s="33"/>
      <c r="J12" s="33">
        <f>$C$32*('E Balans VL '!D8+'E Balans VL '!E8)/100/3.6*1000000</f>
        <v>0</v>
      </c>
      <c r="K12" s="33"/>
      <c r="L12" s="33"/>
      <c r="M12" s="33"/>
      <c r="N12" s="33">
        <f>$C$32*'E Balans VL '!Y8/100/3.6*1000000</f>
        <v>332.31190492992209</v>
      </c>
      <c r="O12" s="33"/>
      <c r="P12" s="33"/>
      <c r="R12" s="32"/>
    </row>
    <row r="13" spans="1:18">
      <c r="A13" s="16" t="s">
        <v>491</v>
      </c>
      <c r="B13" s="247">
        <f ca="1">'lokale energieproductie'!N90+'lokale energieproductie'!N59</f>
        <v>4914</v>
      </c>
      <c r="C13" s="247">
        <f ca="1">'lokale energieproductie'!O90+'lokale energieproductie'!O59</f>
        <v>3535.7142857142858</v>
      </c>
      <c r="D13" s="310">
        <f ca="1">('lokale energieproductie'!P59+'lokale energieproductie'!P90)*(-1)</f>
        <v>-7071.4285714285716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-6968.5714285714294</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84790.580845999997</v>
      </c>
      <c r="C16" s="21">
        <f t="shared" ca="1" si="1"/>
        <v>3535.7142857142858</v>
      </c>
      <c r="D16" s="21">
        <f t="shared" ca="1" si="1"/>
        <v>97753.563323766444</v>
      </c>
      <c r="E16" s="21">
        <f t="shared" si="1"/>
        <v>1349.9615758964787</v>
      </c>
      <c r="F16" s="21">
        <f t="shared" ca="1" si="1"/>
        <v>19534.333769074397</v>
      </c>
      <c r="G16" s="21">
        <f t="shared" si="1"/>
        <v>0</v>
      </c>
      <c r="H16" s="21">
        <f t="shared" si="1"/>
        <v>0</v>
      </c>
      <c r="I16" s="21">
        <f t="shared" si="1"/>
        <v>0</v>
      </c>
      <c r="J16" s="21">
        <f t="shared" si="1"/>
        <v>0</v>
      </c>
      <c r="K16" s="21">
        <f t="shared" si="1"/>
        <v>0</v>
      </c>
      <c r="L16" s="21">
        <f t="shared" ca="1" si="1"/>
        <v>0</v>
      </c>
      <c r="M16" s="21">
        <f t="shared" si="1"/>
        <v>0</v>
      </c>
      <c r="N16" s="21">
        <f t="shared" ca="1" si="1"/>
        <v>3250.9333704978708</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0.18761924510206227</v>
      </c>
      <c r="C18" s="25">
        <f ca="1">'EF ele_warmte'!B22</f>
        <v>0.23257274440025119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15908.344770091899</v>
      </c>
      <c r="C20" s="23">
        <f t="shared" ref="C20:P20" ca="1" si="2">C16*C18</f>
        <v>822.31077484374532</v>
      </c>
      <c r="D20" s="23">
        <f t="shared" ca="1" si="2"/>
        <v>19746.219791400825</v>
      </c>
      <c r="E20" s="23">
        <f t="shared" si="2"/>
        <v>306.44127772850067</v>
      </c>
      <c r="F20" s="23">
        <f t="shared" ca="1" si="2"/>
        <v>5215.6671163428646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22837.527710999999</v>
      </c>
      <c r="C26" s="39">
        <f>IF(ISERROR(B26*3.6/1000000/'E Balans VL '!Z12*100),0,B26*3.6/1000000/'E Balans VL '!Z12*100)</f>
        <v>0.4891975853540419</v>
      </c>
      <c r="D26" s="237" t="s">
        <v>660</v>
      </c>
      <c r="F26" s="6"/>
    </row>
    <row r="27" spans="1:18">
      <c r="A27" s="231" t="s">
        <v>53</v>
      </c>
      <c r="B27" s="33">
        <f>IF(ISERROR(TER_horeca_ele_kWh/1000),0,TER_horeca_ele_kWh/1000)</f>
        <v>5099.9640159999999</v>
      </c>
      <c r="C27" s="39">
        <f>IF(ISERROR(B27*3.6/1000000/'E Balans VL '!Z9*100),0,B27*3.6/1000000/'E Balans VL '!Z9*100)</f>
        <v>0.40925438499002587</v>
      </c>
      <c r="D27" s="237" t="s">
        <v>660</v>
      </c>
      <c r="F27" s="6"/>
    </row>
    <row r="28" spans="1:18">
      <c r="A28" s="171" t="s">
        <v>52</v>
      </c>
      <c r="B28" s="33">
        <f>IF(ISERROR(TER_handel_ele_kWh/1000),0,TER_handel_ele_kWh/1000)</f>
        <v>25083.632600000001</v>
      </c>
      <c r="C28" s="39">
        <f>IF(ISERROR(B28*3.6/1000000/'E Balans VL '!Z13*100),0,B28*3.6/1000000/'E Balans VL '!Z13*100)</f>
        <v>0.73982328772207318</v>
      </c>
      <c r="D28" s="237" t="s">
        <v>660</v>
      </c>
      <c r="F28" s="6"/>
    </row>
    <row r="29" spans="1:18">
      <c r="A29" s="231" t="s">
        <v>51</v>
      </c>
      <c r="B29" s="33">
        <f>IF(ISERROR(TER_gezond_ele_kWh/1000),0,TER_gezond_ele_kWh/1000)</f>
        <v>8116.4465367000003</v>
      </c>
      <c r="C29" s="39">
        <f>IF(ISERROR(B29*3.6/1000000/'E Balans VL '!Z10*100),0,B29*3.6/1000000/'E Balans VL '!Z10*100)</f>
        <v>0.86661888002759979</v>
      </c>
      <c r="D29" s="237" t="s">
        <v>660</v>
      </c>
      <c r="F29" s="6"/>
    </row>
    <row r="30" spans="1:18">
      <c r="A30" s="231" t="s">
        <v>50</v>
      </c>
      <c r="B30" s="33">
        <f>IF(ISERROR(TER_ander_ele_kWh/1000),0,TER_ander_ele_kWh/1000)</f>
        <v>12350.549402000001</v>
      </c>
      <c r="C30" s="39">
        <f>IF(ISERROR(B30*3.6/1000000/'E Balans VL '!Z14*100),0,B30*3.6/1000000/'E Balans VL '!Z14*100)</f>
        <v>0.93288549498428741</v>
      </c>
      <c r="D30" s="237" t="s">
        <v>660</v>
      </c>
      <c r="F30" s="6"/>
    </row>
    <row r="31" spans="1:18">
      <c r="A31" s="231" t="s">
        <v>55</v>
      </c>
      <c r="B31" s="33">
        <f>IF(ISERROR(TER_onderwijs_ele_kWh/1000),0,TER_onderwijs_ele_kWh/1000)</f>
        <v>2622.5433816999998</v>
      </c>
      <c r="C31" s="39">
        <f>IF(ISERROR(B31*3.6/1000000/'E Balans VL '!Z11*100),0,B31*3.6/1000000/'E Balans VL '!Z11*100)</f>
        <v>0.52957905602670585</v>
      </c>
      <c r="D31" s="237" t="s">
        <v>660</v>
      </c>
    </row>
    <row r="32" spans="1:18">
      <c r="A32" s="231" t="s">
        <v>260</v>
      </c>
      <c r="B32" s="33">
        <f>IF(ISERROR(TER_rest_ele_kWh/1000),0,TER_rest_ele_kWh/1000)</f>
        <v>3765.9171985999997</v>
      </c>
      <c r="C32" s="39">
        <f>IF(ISERROR(B32*3.6/1000000/'E Balans VL '!Z8*100),0,B32*3.6/1000000/'E Balans VL '!Z8*100)</f>
        <v>3.1224697578262187E-2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62523.796068809999</v>
      </c>
      <c r="C5" s="17">
        <f>IF(ISERROR('Eigen informatie GS &amp; warmtenet'!B59),0,'Eigen informatie GS &amp; warmtenet'!B59)</f>
        <v>0</v>
      </c>
      <c r="D5" s="30">
        <f>SUM(D6:D15)</f>
        <v>70035.725784545415</v>
      </c>
      <c r="E5" s="17">
        <f>SUM(E6:E15)</f>
        <v>5547.6826624886053</v>
      </c>
      <c r="F5" s="17">
        <f>SUM(F6:F15)</f>
        <v>24268.324397555873</v>
      </c>
      <c r="G5" s="18"/>
      <c r="H5" s="17"/>
      <c r="I5" s="17"/>
      <c r="J5" s="17">
        <f>SUM(J6:J15)</f>
        <v>270.12458290454225</v>
      </c>
      <c r="K5" s="17"/>
      <c r="L5" s="17"/>
      <c r="M5" s="17"/>
      <c r="N5" s="17">
        <f>SUM(N6:N15)</f>
        <v>15108.173264722755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9974.6140921999995</v>
      </c>
      <c r="C8" s="33"/>
      <c r="D8" s="37">
        <f>IF( ISERROR(IND_metaal_Gas_kWH/1000),0,IND_metaal_Gas_kWH/1000)*0.902</f>
        <v>6122.9060032756006</v>
      </c>
      <c r="E8" s="33">
        <f>C30*'E Balans VL '!I18/100/3.6*1000000</f>
        <v>358.91679029050522</v>
      </c>
      <c r="F8" s="33">
        <f>C30*'E Balans VL '!L18/100/3.6*1000000+C30*'E Balans VL '!N18/100/3.6*1000000</f>
        <v>4355.5906318632169</v>
      </c>
      <c r="G8" s="34"/>
      <c r="H8" s="33"/>
      <c r="I8" s="33"/>
      <c r="J8" s="40">
        <f>C30*'E Balans VL '!D18/100/3.6*1000000+C30*'E Balans VL '!E18/100/3.6*1000000</f>
        <v>0</v>
      </c>
      <c r="K8" s="33"/>
      <c r="L8" s="33"/>
      <c r="M8" s="33"/>
      <c r="N8" s="33">
        <f>C30*'E Balans VL '!Y18/100/3.6*1000000</f>
        <v>499.92087983254464</v>
      </c>
      <c r="O8" s="33"/>
      <c r="P8" s="33"/>
      <c r="R8" s="32"/>
    </row>
    <row r="9" spans="1:18">
      <c r="A9" s="6" t="s">
        <v>33</v>
      </c>
      <c r="B9" s="37">
        <f t="shared" si="0"/>
        <v>13208.344137</v>
      </c>
      <c r="C9" s="33"/>
      <c r="D9" s="37">
        <f>IF( ISERROR(IND_andere_gas_kWh/1000),0,IND_andere_gas_kWh/1000)*0.902</f>
        <v>3847.1585542126004</v>
      </c>
      <c r="E9" s="33">
        <f>C31*'E Balans VL '!I19/100/3.6*1000000</f>
        <v>3370.4705766059024</v>
      </c>
      <c r="F9" s="33">
        <f>C31*'E Balans VL '!L19/100/3.6*1000000+C31*'E Balans VL '!N19/100/3.6*1000000</f>
        <v>11371.391524215778</v>
      </c>
      <c r="G9" s="34"/>
      <c r="H9" s="33"/>
      <c r="I9" s="33"/>
      <c r="J9" s="40">
        <f>C31*'E Balans VL '!D19/100/3.6*1000000+C31*'E Balans VL '!E19/100/3.6*1000000</f>
        <v>0</v>
      </c>
      <c r="K9" s="33"/>
      <c r="L9" s="33"/>
      <c r="M9" s="33"/>
      <c r="N9" s="33">
        <f>C31*'E Balans VL '!Y19/100/3.6*1000000</f>
        <v>4130.7015501849064</v>
      </c>
      <c r="O9" s="33"/>
      <c r="P9" s="33"/>
      <c r="R9" s="32"/>
    </row>
    <row r="10" spans="1:18">
      <c r="A10" s="6" t="s">
        <v>41</v>
      </c>
      <c r="B10" s="37">
        <f t="shared" si="0"/>
        <v>9832.0085868999995</v>
      </c>
      <c r="C10" s="33"/>
      <c r="D10" s="37">
        <f>IF( ISERROR(IND_voed_gas_kWh/1000),0,IND_voed_gas_kWh/1000)*0.902</f>
        <v>4921.0509178138009</v>
      </c>
      <c r="E10" s="33">
        <f>C32*'E Balans VL '!I20/100/3.6*1000000</f>
        <v>249.94315873312715</v>
      </c>
      <c r="F10" s="33">
        <f>C32*'E Balans VL '!L20/100/3.6*1000000+C32*'E Balans VL '!N20/100/3.6*1000000</f>
        <v>2224.8359520383087</v>
      </c>
      <c r="G10" s="34"/>
      <c r="H10" s="33"/>
      <c r="I10" s="33"/>
      <c r="J10" s="40">
        <f>C32*'E Balans VL '!D20/100/3.6*1000000+C32*'E Balans VL '!E20/100/3.6*1000000</f>
        <v>0</v>
      </c>
      <c r="K10" s="33"/>
      <c r="L10" s="33"/>
      <c r="M10" s="33"/>
      <c r="N10" s="33">
        <f>C32*'E Balans VL '!Y20/100/3.6*1000000</f>
        <v>3687.2697271629459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178.11313469000001</v>
      </c>
      <c r="C12" s="33"/>
      <c r="D12" s="37">
        <f>IF( ISERROR(IND_min_gas_kWh/1000),0,IND_min_gas_kWh/1000)*0.902</f>
        <v>0</v>
      </c>
      <c r="E12" s="33">
        <f>C34*'E Balans VL '!I22/100/3.6*1000000</f>
        <v>3.7844577210675614</v>
      </c>
      <c r="F12" s="33">
        <f>C34*'E Balans VL '!L22/100/3.6*1000000+C34*'E Balans VL '!N22/100/3.6*1000000</f>
        <v>29.060675822372058</v>
      </c>
      <c r="G12" s="34"/>
      <c r="H12" s="33"/>
      <c r="I12" s="33"/>
      <c r="J12" s="40">
        <f>C34*'E Balans VL '!D22/100/3.6*1000000+C34*'E Balans VL '!E22/100/3.6*1000000</f>
        <v>0.20751842352276437</v>
      </c>
      <c r="K12" s="33"/>
      <c r="L12" s="33"/>
      <c r="M12" s="33"/>
      <c r="N12" s="33">
        <f>C34*'E Balans VL '!Y22/100/3.6*1000000</f>
        <v>0</v>
      </c>
      <c r="O12" s="33"/>
      <c r="P12" s="33"/>
      <c r="R12" s="32"/>
    </row>
    <row r="13" spans="1:18">
      <c r="A13" s="6" t="s">
        <v>39</v>
      </c>
      <c r="B13" s="37">
        <f t="shared" si="0"/>
        <v>546.07375402000002</v>
      </c>
      <c r="C13" s="33"/>
      <c r="D13" s="37">
        <f>IF( ISERROR(IND_papier_gas_kWh/1000),0,IND_papier_gas_kWh/1000)*0.902</f>
        <v>1954.3498886714003</v>
      </c>
      <c r="E13" s="33">
        <f>C35*'E Balans VL '!I23/100/3.6*1000000</f>
        <v>2.3419514684255942</v>
      </c>
      <c r="F13" s="33">
        <f>C35*'E Balans VL '!L23/100/3.6*1000000+C35*'E Balans VL '!N23/100/3.6*1000000</f>
        <v>13.724528343557347</v>
      </c>
      <c r="G13" s="34"/>
      <c r="H13" s="33"/>
      <c r="I13" s="33"/>
      <c r="J13" s="40">
        <f>C35*'E Balans VL '!D23/100/3.6*1000000+C35*'E Balans VL '!E23/100/3.6*1000000</f>
        <v>36.556642740304142</v>
      </c>
      <c r="K13" s="33"/>
      <c r="L13" s="33"/>
      <c r="M13" s="33"/>
      <c r="N13" s="33">
        <f>C35*'E Balans VL '!Y23/100/3.6*1000000</f>
        <v>993.9840936096216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28784.642363999999</v>
      </c>
      <c r="C15" s="33"/>
      <c r="D15" s="37">
        <f>IF( ISERROR(IND_rest_gas_kWh/1000),0,IND_rest_gas_kWh/1000)*0.902</f>
        <v>53190.260420572005</v>
      </c>
      <c r="E15" s="33">
        <f>C37*'E Balans VL '!I15/100/3.6*1000000</f>
        <v>1562.2257276695771</v>
      </c>
      <c r="F15" s="33">
        <f>C37*'E Balans VL '!L15/100/3.6*1000000+C37*'E Balans VL '!N15/100/3.6*1000000</f>
        <v>6273.7210852726366</v>
      </c>
      <c r="G15" s="34"/>
      <c r="H15" s="33"/>
      <c r="I15" s="33"/>
      <c r="J15" s="40">
        <f>C37*'E Balans VL '!D15/100/3.6*1000000+C37*'E Balans VL '!E15/100/3.6*1000000</f>
        <v>233.36042174071537</v>
      </c>
      <c r="K15" s="33"/>
      <c r="L15" s="33"/>
      <c r="M15" s="33"/>
      <c r="N15" s="33">
        <f>C37*'E Balans VL '!Y15/100/3.6*1000000</f>
        <v>5796.2970139327381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62523.796068809999</v>
      </c>
      <c r="C18" s="21">
        <f>C5+C16</f>
        <v>0</v>
      </c>
      <c r="D18" s="21">
        <f>MAX((D5+D16),0)</f>
        <v>70035.725784545415</v>
      </c>
      <c r="E18" s="21">
        <f>MAX((E5+E16),0)</f>
        <v>5547.6826624886053</v>
      </c>
      <c r="F18" s="21">
        <f>MAX((F5+F16),0)</f>
        <v>24268.324397555873</v>
      </c>
      <c r="G18" s="21"/>
      <c r="H18" s="21"/>
      <c r="I18" s="21"/>
      <c r="J18" s="21">
        <f>MAX((J5+J16),0)</f>
        <v>270.12458290454225</v>
      </c>
      <c r="K18" s="21"/>
      <c r="L18" s="21">
        <f>MAX((L5+L16),0)</f>
        <v>0</v>
      </c>
      <c r="M18" s="21"/>
      <c r="N18" s="21">
        <f>MAX((N5+N16),0)</f>
        <v>15108.173264722755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0.18761924510206227</v>
      </c>
      <c r="C20" s="25">
        <f ca="1">'EF ele_warmte'!B22</f>
        <v>0.23257274440025119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11730.66741934542</v>
      </c>
      <c r="C22" s="23">
        <f ca="1">C18*C20</f>
        <v>0</v>
      </c>
      <c r="D22" s="23">
        <f>D18*D20</f>
        <v>14147.216608478175</v>
      </c>
      <c r="E22" s="23">
        <f>E18*E20</f>
        <v>1259.3239643849133</v>
      </c>
      <c r="F22" s="23">
        <f>F18*F20</f>
        <v>6479.6426141474185</v>
      </c>
      <c r="G22" s="23"/>
      <c r="H22" s="23"/>
      <c r="I22" s="23"/>
      <c r="J22" s="23">
        <f>J18*J20</f>
        <v>95.624102348207956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9974.6140921999995</v>
      </c>
      <c r="C30" s="39">
        <f>IF(ISERROR(B30*3.6/1000000/'E Balans VL '!Z18*100),0,B30*3.6/1000000/'E Balans VL '!Z18*100)</f>
        <v>2.1134068760471787</v>
      </c>
      <c r="D30" s="237" t="s">
        <v>660</v>
      </c>
    </row>
    <row r="31" spans="1:18">
      <c r="A31" s="6" t="s">
        <v>33</v>
      </c>
      <c r="B31" s="37">
        <f>IF( ISERROR(IND_ander_ele_kWh/1000),0,IND_ander_ele_kWh/1000)</f>
        <v>13208.344137</v>
      </c>
      <c r="C31" s="39">
        <f>IF(ISERROR(B31*3.6/1000000/'E Balans VL '!Z19*100),0,B31*3.6/1000000/'E Balans VL '!Z19*100)</f>
        <v>0.55596919645286869</v>
      </c>
      <c r="D31" s="237" t="s">
        <v>660</v>
      </c>
    </row>
    <row r="32" spans="1:18">
      <c r="A32" s="171" t="s">
        <v>41</v>
      </c>
      <c r="B32" s="37">
        <f>IF( ISERROR(IND_voed_ele_kWh/1000),0,IND_voed_ele_kWh/1000)</f>
        <v>9832.0085868999995</v>
      </c>
      <c r="C32" s="39">
        <f>IF(ISERROR(B32*3.6/1000000/'E Balans VL '!Z20*100),0,B32*3.6/1000000/'E Balans VL '!Z20*100)</f>
        <v>1.6425482759679835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178.11313469000001</v>
      </c>
      <c r="C34" s="39">
        <f>IF(ISERROR(B34*3.6/1000000/'E Balans VL '!Z22*100),0,B34*3.6/1000000/'E Balans VL '!Z22*100)</f>
        <v>2.2576800383255904E-2</v>
      </c>
      <c r="D34" s="237" t="s">
        <v>660</v>
      </c>
    </row>
    <row r="35" spans="1:5">
      <c r="A35" s="171" t="s">
        <v>39</v>
      </c>
      <c r="B35" s="37">
        <f>IF( ISERROR(IND_papier_ele_kWh/1000),0,IND_papier_ele_kWh/1000)</f>
        <v>546.07375402000002</v>
      </c>
      <c r="C35" s="39">
        <f>IF(ISERROR(B35*3.6/1000000/'E Balans VL '!Z22*100),0,B35*3.6/1000000/'E Balans VL '!Z22*100)</f>
        <v>6.9217793289092569E-2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28784.642363999999</v>
      </c>
      <c r="C37" s="39">
        <f>IF(ISERROR(B37*3.6/1000000/'E Balans VL '!Z15*100),0,B37*3.6/1000000/'E Balans VL '!Z15*100)</f>
        <v>0.23238956372895478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1118.69675173</v>
      </c>
      <c r="C5" s="17">
        <f>'Eigen informatie GS &amp; warmtenet'!B60</f>
        <v>0</v>
      </c>
      <c r="D5" s="30">
        <f>IF(ISERROR(SUM(LB_lb_gas_kWh,LB_rest_gas_kWh,onbekend_gas_kWh)/1000),0,SUM(LB_lb_gas_kWh,LB_rest_gas_kWh,onbekend_gas_kWh)/1000)*0.902</f>
        <v>8508.8913257831991</v>
      </c>
      <c r="E5" s="17">
        <f>B17*'E Balans VL '!I25/3.6*1000000/100</f>
        <v>28.846893928190003</v>
      </c>
      <c r="F5" s="17">
        <f>B17*('E Balans VL '!L25/3.6*1000000+'E Balans VL '!N25/3.6*1000000)/100</f>
        <v>4089.0496730203786</v>
      </c>
      <c r="G5" s="18"/>
      <c r="H5" s="17"/>
      <c r="I5" s="17"/>
      <c r="J5" s="17">
        <f>('E Balans VL '!D25+'E Balans VL '!E25)/3.6*1000000*landbouw!B17/100</f>
        <v>161.0511791353442</v>
      </c>
      <c r="K5" s="17"/>
      <c r="L5" s="17">
        <f>L6*(-1)</f>
        <v>0</v>
      </c>
      <c r="M5" s="17"/>
      <c r="N5" s="17">
        <f>N6*(-1)</f>
        <v>154.28571428571431</v>
      </c>
      <c r="O5" s="17"/>
      <c r="P5" s="17"/>
      <c r="R5" s="32"/>
    </row>
    <row r="6" spans="1:18">
      <c r="A6" s="16" t="s">
        <v>491</v>
      </c>
      <c r="B6" s="17" t="s">
        <v>211</v>
      </c>
      <c r="C6" s="17">
        <f>'lokale energieproductie'!O91+'lokale energieproductie'!O60</f>
        <v>77.142857142857139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1118.69675173</v>
      </c>
      <c r="C8" s="21">
        <f>C5+C6</f>
        <v>77.142857142857139</v>
      </c>
      <c r="D8" s="21">
        <f>MAX((D5+D6),0)</f>
        <v>8508.8913257831991</v>
      </c>
      <c r="E8" s="21">
        <f>MAX((E5+E6),0)</f>
        <v>28.846893928190003</v>
      </c>
      <c r="F8" s="21">
        <f>MAX((F5+F6),0)</f>
        <v>4089.0496730203786</v>
      </c>
      <c r="G8" s="21"/>
      <c r="H8" s="21"/>
      <c r="I8" s="21"/>
      <c r="J8" s="21">
        <f>MAX((J5+J6),0)</f>
        <v>161.0511791353442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0.18761924510206227</v>
      </c>
      <c r="C10" s="31">
        <f ca="1">'EF ele_warmte'!B22</f>
        <v>0.23257274440025119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209.88904005771175</v>
      </c>
      <c r="C12" s="23">
        <f ca="1">C8*C10</f>
        <v>17.941325996590805</v>
      </c>
      <c r="D12" s="23">
        <f>D8*D10</f>
        <v>1718.7960478082064</v>
      </c>
      <c r="E12" s="23">
        <f>E8*E10</f>
        <v>6.5482449216991307</v>
      </c>
      <c r="F12" s="23">
        <f>F8*F10</f>
        <v>1091.7762626964411</v>
      </c>
      <c r="G12" s="23"/>
      <c r="H12" s="23"/>
      <c r="I12" s="23"/>
      <c r="J12" s="23">
        <f>J8*J10</f>
        <v>57.012117413911845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0.15774365207505817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345.62701501221062</v>
      </c>
      <c r="C26" s="247">
        <f>B26*'GWP N2O_CH4'!B5</f>
        <v>7258.1673152564226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62.853138506897423</v>
      </c>
      <c r="C27" s="247">
        <f>B27*'GWP N2O_CH4'!B5</f>
        <v>1319.9159086448458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4.9543535352667654</v>
      </c>
      <c r="C28" s="247">
        <f>B28*'GWP N2O_CH4'!B4</f>
        <v>1535.8495959326972</v>
      </c>
      <c r="D28" s="50"/>
    </row>
    <row r="29" spans="1:4">
      <c r="A29" s="41" t="s">
        <v>277</v>
      </c>
      <c r="B29" s="247">
        <f>B34*'ha_N2O bodem landbouw'!B4</f>
        <v>13.702598234802492</v>
      </c>
      <c r="C29" s="247">
        <f>B29*'GWP N2O_CH4'!B4</f>
        <v>4247.8054527887725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3.0838292236792099E-3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1.9090368426959278E-4</v>
      </c>
      <c r="C5" s="463" t="s">
        <v>211</v>
      </c>
      <c r="D5" s="448">
        <f>SUM(D6:D11)</f>
        <v>4.4637485083698033E-4</v>
      </c>
      <c r="E5" s="448">
        <f>SUM(E6:E11)</f>
        <v>1.7110707797573874E-3</v>
      </c>
      <c r="F5" s="461" t="s">
        <v>211</v>
      </c>
      <c r="G5" s="448">
        <f>SUM(G6:G11)</f>
        <v>0.61380424185891103</v>
      </c>
      <c r="H5" s="448">
        <f>SUM(H6:H11)</f>
        <v>0.11965080162068167</v>
      </c>
      <c r="I5" s="463" t="s">
        <v>211</v>
      </c>
      <c r="J5" s="463" t="s">
        <v>211</v>
      </c>
      <c r="K5" s="463" t="s">
        <v>211</v>
      </c>
      <c r="L5" s="463" t="s">
        <v>211</v>
      </c>
      <c r="M5" s="448">
        <f>SUM(M6:M11)</f>
        <v>2.2922798788855475E-2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1.4711906351378239E-4</v>
      </c>
      <c r="C6" s="449"/>
      <c r="D6" s="962">
        <f>vkm_2011_GW_PW*SUMIFS(TableVerdeelsleutelVkm[CNG],TableVerdeelsleutelVkm[Voertuigtype],"Lichte voertuigen")*SUMIFS(TableECFTransport[EnergieConsumptieFactor (PJ per km)],TableECFTransport[Index],CONCATENATE($A6,"_CNG_CNG"))</f>
        <v>2.9232815621803158E-4</v>
      </c>
      <c r="E6" s="962">
        <f>vkm_2011_GW_PW*SUMIFS(TableVerdeelsleutelVkm[LPG],TableVerdeelsleutelVkm[Voertuigtype],"Lichte voertuigen")*SUMIFS(TableECFTransport[EnergieConsumptieFactor (PJ per km)],TableECFTransport[Index],CONCATENATE($A6,"_LPG_LPG"))</f>
        <v>1.150416086506298E-3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0.27352947229352748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7.9142026386373118E-2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1.0989569560489122E-2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0.19021902944235222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6.1448871431874251E-5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5.9935105681442995E-3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4.3784620755810381E-5</v>
      </c>
      <c r="C8" s="449"/>
      <c r="D8" s="451">
        <f>vkm_2011_NGW_PW*SUMIFS(TableVerdeelsleutelVkm[CNG],TableVerdeelsleutelVkm[Voertuigtype],"Lichte voertuigen")*SUMIFS(TableECFTransport[EnergieConsumptieFactor (PJ per km)],TableECFTransport[Index],CONCATENATE($A8,"_CNG_CNG"))</f>
        <v>1.5404669461894878E-4</v>
      </c>
      <c r="E8" s="451">
        <f>vkm_2011_NGW_PW*SUMIFS(TableVerdeelsleutelVkm[LPG],TableVerdeelsleutelVkm[Voertuigtype],"Lichte voertuigen")*SUMIFS(TableECFTransport[EnergieConsumptieFactor (PJ per km)],TableECFTransport[Index],CONCATENATE($A8,"_LPG_LPG"))</f>
        <v>5.606546932510894E-4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0.12448110247897629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4.0439513094226373E-2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5.1339144091117686E-3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2.5574637644055091E-2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7.813268650305755E-6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8.0580425111028624E-4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53.028801185997992</v>
      </c>
      <c r="C14" s="21"/>
      <c r="D14" s="21">
        <f t="shared" ref="D14:M14" si="0">((D5)*10^9/3600)+D12</f>
        <v>123.99301412138342</v>
      </c>
      <c r="E14" s="21">
        <f t="shared" si="0"/>
        <v>475.29743882149654</v>
      </c>
      <c r="F14" s="21"/>
      <c r="G14" s="21">
        <f t="shared" si="0"/>
        <v>170501.17829414195</v>
      </c>
      <c r="H14" s="21">
        <f t="shared" si="0"/>
        <v>33236.333783522685</v>
      </c>
      <c r="I14" s="21"/>
      <c r="J14" s="21"/>
      <c r="K14" s="21"/>
      <c r="L14" s="21"/>
      <c r="M14" s="21">
        <f t="shared" si="0"/>
        <v>6367.4441080154093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0.18761924510206227</v>
      </c>
      <c r="C16" s="56">
        <f ca="1">'EF ele_warmte'!B22</f>
        <v>0.23257274440025119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9.9492236471842865</v>
      </c>
      <c r="C18" s="23"/>
      <c r="D18" s="23">
        <f t="shared" ref="D18:M18" si="1">D14*D16</f>
        <v>25.046588852519452</v>
      </c>
      <c r="E18" s="23">
        <f t="shared" si="1"/>
        <v>107.89251861247972</v>
      </c>
      <c r="F18" s="23"/>
      <c r="G18" s="23">
        <f t="shared" si="1"/>
        <v>45523.814604535903</v>
      </c>
      <c r="H18" s="23">
        <f t="shared" si="1"/>
        <v>8275.8471120971481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1.3897194765402994E-2</v>
      </c>
      <c r="H50" s="321">
        <f t="shared" si="2"/>
        <v>0</v>
      </c>
      <c r="I50" s="321">
        <f t="shared" si="2"/>
        <v>0</v>
      </c>
      <c r="J50" s="321">
        <f t="shared" si="2"/>
        <v>0</v>
      </c>
      <c r="K50" s="321">
        <f t="shared" si="2"/>
        <v>0</v>
      </c>
      <c r="L50" s="321">
        <f t="shared" si="2"/>
        <v>0</v>
      </c>
      <c r="M50" s="321">
        <f t="shared" si="2"/>
        <v>4.3105989106759647E-4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1.3897194765402994E-2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4.3105989106759647E-4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3860.3318792786099</v>
      </c>
      <c r="H54" s="21">
        <f t="shared" si="3"/>
        <v>0</v>
      </c>
      <c r="I54" s="21">
        <f t="shared" si="3"/>
        <v>0</v>
      </c>
      <c r="J54" s="21">
        <f t="shared" si="3"/>
        <v>0</v>
      </c>
      <c r="K54" s="21">
        <f t="shared" si="3"/>
        <v>0</v>
      </c>
      <c r="L54" s="21">
        <f t="shared" si="3"/>
        <v>0</v>
      </c>
      <c r="M54" s="21">
        <f t="shared" si="3"/>
        <v>119.7388586298879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0.18761924510206227</v>
      </c>
      <c r="C56" s="56">
        <f ca="1">'EF ele_warmte'!B22</f>
        <v>0.23257274440025119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1030.7086117673889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15697.287558210559</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16032.910893516349</v>
      </c>
      <c r="C6" s="1203"/>
      <c r="D6" s="1188"/>
      <c r="E6" s="1188"/>
      <c r="F6" s="1206"/>
      <c r="G6" s="1209"/>
      <c r="H6" s="1200"/>
      <c r="I6" s="1188"/>
      <c r="J6" s="1188"/>
      <c r="K6" s="1188"/>
      <c r="L6" s="1192"/>
      <c r="M6" s="575"/>
      <c r="N6" s="1166"/>
      <c r="O6" s="1167"/>
      <c r="Q6" s="573"/>
      <c r="R6" s="1154"/>
      <c r="S6" s="1154"/>
    </row>
    <row r="7" spans="1:19" s="563" customFormat="1">
      <c r="A7" s="576" t="s">
        <v>252</v>
      </c>
      <c r="B7" s="577">
        <f>N57</f>
        <v>2529</v>
      </c>
      <c r="C7" s="578">
        <f>B100</f>
        <v>2911.7647058823527</v>
      </c>
      <c r="D7" s="579"/>
      <c r="E7" s="579">
        <f>E100</f>
        <v>0</v>
      </c>
      <c r="F7" s="580"/>
      <c r="G7" s="581"/>
      <c r="H7" s="579">
        <f>I100</f>
        <v>0</v>
      </c>
      <c r="I7" s="579">
        <f>G100+F100</f>
        <v>0</v>
      </c>
      <c r="J7" s="579">
        <f>H100+D100+C100</f>
        <v>63.529411764705891</v>
      </c>
      <c r="K7" s="579"/>
      <c r="L7" s="582"/>
      <c r="M7" s="583">
        <f>C7*$C$11+D7*$D$11+E7*$E$11+F7*$F$11+G7*$G$11+H7*$H$11+I7*$I$11+J7*$J$11</f>
        <v>588.17647058823525</v>
      </c>
      <c r="N7" s="1166"/>
      <c r="O7" s="1167"/>
      <c r="Q7" s="573"/>
      <c r="R7" s="1154"/>
      <c r="S7" s="1154"/>
    </row>
    <row r="8" spans="1:19" s="563" customFormat="1" ht="17.45" customHeight="1" thickBot="1">
      <c r="A8" s="584" t="s">
        <v>248</v>
      </c>
      <c r="B8" s="585">
        <f>N88+'Eigen informatie GS &amp; warmtenet'!B12</f>
        <v>2439</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36698.198451726908</v>
      </c>
      <c r="C9" s="594">
        <f t="shared" ref="C9:L9" si="0">SUM(C7:C8)</f>
        <v>2911.7647058823527</v>
      </c>
      <c r="D9" s="594">
        <f t="shared" si="0"/>
        <v>0</v>
      </c>
      <c r="E9" s="594">
        <f t="shared" si="0"/>
        <v>0</v>
      </c>
      <c r="F9" s="594">
        <f t="shared" si="0"/>
        <v>0</v>
      </c>
      <c r="G9" s="594">
        <f t="shared" si="0"/>
        <v>0</v>
      </c>
      <c r="H9" s="594">
        <f t="shared" si="0"/>
        <v>0</v>
      </c>
      <c r="I9" s="594">
        <f t="shared" si="0"/>
        <v>0</v>
      </c>
      <c r="J9" s="594">
        <f t="shared" si="0"/>
        <v>7032.1008403361357</v>
      </c>
      <c r="K9" s="594">
        <f t="shared" si="0"/>
        <v>0</v>
      </c>
      <c r="L9" s="594">
        <f t="shared" si="0"/>
        <v>0</v>
      </c>
      <c r="M9" s="595">
        <f>SUM(M4:M8)</f>
        <v>588.17647058823525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3612.8571428571431</v>
      </c>
      <c r="C16" s="610">
        <f>B101</f>
        <v>4159.6638655462184</v>
      </c>
      <c r="D16" s="611"/>
      <c r="E16" s="611">
        <f>E101</f>
        <v>0</v>
      </c>
      <c r="F16" s="612"/>
      <c r="G16" s="613"/>
      <c r="H16" s="610">
        <f>I101</f>
        <v>0</v>
      </c>
      <c r="I16" s="611">
        <f>G101+F101</f>
        <v>0</v>
      </c>
      <c r="J16" s="611">
        <f>H101+D101+C101</f>
        <v>90.756302521008422</v>
      </c>
      <c r="K16" s="611"/>
      <c r="L16" s="614"/>
      <c r="M16" s="615">
        <f>C16*$C$21+E16*$E$21+H16*$H$21+I16*$I$21+J16*$J$21+D16*$D$21+F16*$F$21+G16*$G$21+K16*$K$21+L16*$L$21</f>
        <v>840.2521008403362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3612.8571428571431</v>
      </c>
      <c r="C19" s="593">
        <f>SUM(C16:C18)</f>
        <v>4159.6638655462184</v>
      </c>
      <c r="D19" s="593">
        <f t="shared" ref="D19:M19" si="1">SUM(D16:D18)</f>
        <v>0</v>
      </c>
      <c r="E19" s="593">
        <f t="shared" si="1"/>
        <v>0</v>
      </c>
      <c r="F19" s="593">
        <f t="shared" si="1"/>
        <v>0</v>
      </c>
      <c r="G19" s="593">
        <f t="shared" si="1"/>
        <v>0</v>
      </c>
      <c r="H19" s="593">
        <f t="shared" si="1"/>
        <v>0</v>
      </c>
      <c r="I19" s="593">
        <f t="shared" si="1"/>
        <v>0</v>
      </c>
      <c r="J19" s="593">
        <f t="shared" si="1"/>
        <v>90.756302521008422</v>
      </c>
      <c r="K19" s="593">
        <f t="shared" si="1"/>
        <v>0</v>
      </c>
      <c r="L19" s="593">
        <f t="shared" si="1"/>
        <v>0</v>
      </c>
      <c r="M19" s="620">
        <f t="shared" si="1"/>
        <v>840.2521008403362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42006</v>
      </c>
      <c r="C27" s="851">
        <v>9200</v>
      </c>
      <c r="D27" s="672" t="s">
        <v>818</v>
      </c>
      <c r="E27" s="671" t="s">
        <v>819</v>
      </c>
      <c r="F27" s="671" t="s">
        <v>820</v>
      </c>
      <c r="G27" s="671" t="s">
        <v>821</v>
      </c>
      <c r="H27" s="671" t="s">
        <v>822</v>
      </c>
      <c r="I27" s="671" t="s">
        <v>819</v>
      </c>
      <c r="J27" s="850">
        <v>40968</v>
      </c>
      <c r="K27" s="850">
        <v>41091</v>
      </c>
      <c r="L27" s="671" t="s">
        <v>823</v>
      </c>
      <c r="M27" s="671">
        <v>12</v>
      </c>
      <c r="N27" s="671">
        <v>54</v>
      </c>
      <c r="O27" s="671">
        <v>77.142857142857139</v>
      </c>
      <c r="P27" s="671">
        <v>0</v>
      </c>
      <c r="Q27" s="671">
        <v>0</v>
      </c>
      <c r="R27" s="671">
        <v>0</v>
      </c>
      <c r="S27" s="671">
        <v>0</v>
      </c>
      <c r="T27" s="671">
        <v>0</v>
      </c>
      <c r="U27" s="671">
        <v>0</v>
      </c>
      <c r="V27" s="671">
        <v>154.28571428571431</v>
      </c>
      <c r="W27" s="671">
        <v>0</v>
      </c>
      <c r="X27" s="671">
        <v>10</v>
      </c>
      <c r="Y27" s="671" t="s">
        <v>112</v>
      </c>
      <c r="Z27" s="673" t="s">
        <v>112</v>
      </c>
    </row>
    <row r="28" spans="1:26" s="625" customFormat="1" ht="38.25">
      <c r="A28" s="624"/>
      <c r="B28" s="851">
        <v>42006</v>
      </c>
      <c r="C28" s="851">
        <v>9200</v>
      </c>
      <c r="D28" s="672"/>
      <c r="E28" s="671"/>
      <c r="F28" s="671" t="s">
        <v>824</v>
      </c>
      <c r="G28" s="671" t="s">
        <v>821</v>
      </c>
      <c r="H28" s="671" t="s">
        <v>822</v>
      </c>
      <c r="I28" s="671" t="s">
        <v>825</v>
      </c>
      <c r="J28" s="850">
        <v>41999</v>
      </c>
      <c r="K28" s="850">
        <v>42032</v>
      </c>
      <c r="L28" s="671" t="s">
        <v>823</v>
      </c>
      <c r="M28" s="671">
        <v>600</v>
      </c>
      <c r="N28" s="671">
        <v>2475</v>
      </c>
      <c r="O28" s="671">
        <v>3535.7142857142858</v>
      </c>
      <c r="P28" s="671">
        <v>7071.4285714285716</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612</v>
      </c>
      <c r="N57" s="629">
        <f>SUM(N27:N56)</f>
        <v>2529</v>
      </c>
      <c r="O57" s="629">
        <f t="shared" ref="O57:W57" si="2">SUM(O27:O56)</f>
        <v>3612.8571428571431</v>
      </c>
      <c r="P57" s="629">
        <f t="shared" si="2"/>
        <v>7071.4285714285716</v>
      </c>
      <c r="Q57" s="629">
        <f t="shared" si="2"/>
        <v>0</v>
      </c>
      <c r="R57" s="629">
        <f t="shared" si="2"/>
        <v>0</v>
      </c>
      <c r="S57" s="629">
        <f t="shared" si="2"/>
        <v>0</v>
      </c>
      <c r="T57" s="629">
        <f t="shared" si="2"/>
        <v>0</v>
      </c>
      <c r="U57" s="629">
        <f t="shared" si="2"/>
        <v>0</v>
      </c>
      <c r="V57" s="629">
        <f t="shared" si="2"/>
        <v>154.28571428571431</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600</v>
      </c>
      <c r="N59" s="629">
        <f ca="1">SUMIF($Z$27:AB56,"tertiair",N27:N56)</f>
        <v>2475</v>
      </c>
      <c r="O59" s="629">
        <f ca="1">SUMIF($Z$27:AC56,"tertiair",O27:O56)</f>
        <v>3535.7142857142858</v>
      </c>
      <c r="P59" s="629">
        <f ca="1">SUMIF($Z$27:AD56,"tertiair",P27:P56)</f>
        <v>7071.4285714285716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v>
      </c>
      <c r="N60" s="634">
        <f t="shared" ref="N60:W60" si="4">SUMIF($Z$27:$Z$56,"landbouw",N27:N56)</f>
        <v>54</v>
      </c>
      <c r="O60" s="634">
        <f t="shared" si="4"/>
        <v>77.142857142857139</v>
      </c>
      <c r="P60" s="634">
        <f t="shared" si="4"/>
        <v>0</v>
      </c>
      <c r="Q60" s="634">
        <f t="shared" si="4"/>
        <v>0</v>
      </c>
      <c r="R60" s="634">
        <f t="shared" si="4"/>
        <v>0</v>
      </c>
      <c r="S60" s="634">
        <f t="shared" si="4"/>
        <v>0</v>
      </c>
      <c r="T60" s="634">
        <f t="shared" si="4"/>
        <v>0</v>
      </c>
      <c r="U60" s="634">
        <f t="shared" si="4"/>
        <v>0</v>
      </c>
      <c r="V60" s="634">
        <f t="shared" si="4"/>
        <v>154.28571428571431</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42006</v>
      </c>
      <c r="C63" s="851">
        <v>9200</v>
      </c>
      <c r="D63" s="674" t="s">
        <v>826</v>
      </c>
      <c r="E63" s="674" t="s">
        <v>827</v>
      </c>
      <c r="F63" s="674" t="s">
        <v>828</v>
      </c>
      <c r="G63" s="674" t="s">
        <v>829</v>
      </c>
      <c r="H63" s="674" t="s">
        <v>830</v>
      </c>
      <c r="I63" s="674" t="s">
        <v>831</v>
      </c>
      <c r="J63" s="850">
        <v>39295</v>
      </c>
      <c r="K63" s="850">
        <v>37469</v>
      </c>
      <c r="L63" s="674" t="s">
        <v>832</v>
      </c>
      <c r="M63" s="674">
        <v>542</v>
      </c>
      <c r="N63" s="674">
        <v>2439</v>
      </c>
      <c r="O63" s="674">
        <v>0</v>
      </c>
      <c r="P63" s="674">
        <v>0</v>
      </c>
      <c r="Q63" s="674">
        <v>6968.5714285714294</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542</v>
      </c>
      <c r="N88" s="629">
        <f t="shared" ref="N88:W88" si="5">SUM(N63:N87)</f>
        <v>2439</v>
      </c>
      <c r="O88" s="629">
        <f t="shared" si="5"/>
        <v>0</v>
      </c>
      <c r="P88" s="629">
        <f t="shared" si="5"/>
        <v>0</v>
      </c>
      <c r="Q88" s="629">
        <f t="shared" si="5"/>
        <v>6968.5714285714294</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542</v>
      </c>
      <c r="N90" s="629">
        <f t="shared" ref="N90:W90" si="7">SUMIF($Z$63:$Z$88,"tertiair",N63:N88)</f>
        <v>2439</v>
      </c>
      <c r="O90" s="629">
        <f t="shared" si="7"/>
        <v>0</v>
      </c>
      <c r="P90" s="629">
        <f t="shared" si="7"/>
        <v>0</v>
      </c>
      <c r="Q90" s="629">
        <f t="shared" si="7"/>
        <v>6968.5714285714294</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2911.7647058823527</v>
      </c>
      <c r="C100" s="663">
        <f t="shared" si="9"/>
        <v>0</v>
      </c>
      <c r="D100" s="663">
        <f t="shared" si="9"/>
        <v>0</v>
      </c>
      <c r="E100" s="663">
        <f t="shared" si="9"/>
        <v>0</v>
      </c>
      <c r="F100" s="663">
        <f t="shared" si="9"/>
        <v>0</v>
      </c>
      <c r="G100" s="663">
        <f t="shared" si="9"/>
        <v>0</v>
      </c>
      <c r="H100" s="663">
        <f t="shared" si="9"/>
        <v>63.529411764705891</v>
      </c>
      <c r="I100" s="664">
        <f t="shared" si="9"/>
        <v>0</v>
      </c>
      <c r="J100" s="621"/>
      <c r="K100" s="621"/>
      <c r="L100" s="659"/>
      <c r="M100" s="646"/>
      <c r="N100" s="646"/>
    </row>
    <row r="101" spans="1:14" ht="15.75" thickBot="1">
      <c r="A101" s="665" t="s">
        <v>286</v>
      </c>
      <c r="B101" s="666">
        <f>$B$97*P57</f>
        <v>4159.6638655462184</v>
      </c>
      <c r="C101" s="666">
        <f t="shared" ref="C101:H101" si="10">$B$97*Q57</f>
        <v>0</v>
      </c>
      <c r="D101" s="666">
        <f t="shared" si="10"/>
        <v>0</v>
      </c>
      <c r="E101" s="666">
        <f t="shared" si="10"/>
        <v>0</v>
      </c>
      <c r="F101" s="666">
        <f t="shared" si="10"/>
        <v>0</v>
      </c>
      <c r="G101" s="666">
        <f t="shared" si="10"/>
        <v>0</v>
      </c>
      <c r="H101" s="666">
        <f t="shared" si="10"/>
        <v>90.756302521008422</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87758.499845999992</v>
      </c>
      <c r="D10" s="718">
        <f ca="1">tertiair!C16</f>
        <v>3535.7142857142858</v>
      </c>
      <c r="E10" s="718">
        <f ca="1">tertiair!D16</f>
        <v>97753.563323766444</v>
      </c>
      <c r="F10" s="718">
        <f>tertiair!E16</f>
        <v>1349.9615758964787</v>
      </c>
      <c r="G10" s="718">
        <f ca="1">tertiair!F16</f>
        <v>19534.333769074397</v>
      </c>
      <c r="H10" s="718">
        <f>tertiair!G16</f>
        <v>0</v>
      </c>
      <c r="I10" s="718">
        <f>tertiair!H16</f>
        <v>0</v>
      </c>
      <c r="J10" s="718">
        <f>tertiair!I16</f>
        <v>0</v>
      </c>
      <c r="K10" s="718">
        <f>tertiair!J16</f>
        <v>0</v>
      </c>
      <c r="L10" s="718">
        <f>tertiair!K16</f>
        <v>0</v>
      </c>
      <c r="M10" s="718">
        <f ca="1">tertiair!L16</f>
        <v>0</v>
      </c>
      <c r="N10" s="718">
        <f>tertiair!M16</f>
        <v>0</v>
      </c>
      <c r="O10" s="718">
        <f ca="1">tertiair!N16</f>
        <v>3250.9333704978708</v>
      </c>
      <c r="P10" s="718">
        <f>tertiair!O16</f>
        <v>3.1266666666666669</v>
      </c>
      <c r="Q10" s="719">
        <f>tertiair!P16</f>
        <v>57.2</v>
      </c>
      <c r="R10" s="721">
        <f ca="1">SUM(C10:Q10)</f>
        <v>213243.33283761615</v>
      </c>
      <c r="S10" s="67"/>
    </row>
    <row r="11" spans="1:19" s="474" customFormat="1">
      <c r="A11" s="870" t="s">
        <v>225</v>
      </c>
      <c r="B11" s="875"/>
      <c r="C11" s="718">
        <f>huishoudens!B8</f>
        <v>73889.15636759976</v>
      </c>
      <c r="D11" s="718">
        <f>huishoudens!C8</f>
        <v>0</v>
      </c>
      <c r="E11" s="718">
        <f>huishoudens!D8</f>
        <v>194088.11681160002</v>
      </c>
      <c r="F11" s="718">
        <f>huishoudens!E8</f>
        <v>9818.5670673853037</v>
      </c>
      <c r="G11" s="718">
        <f>huishoudens!F8</f>
        <v>11526.009984457072</v>
      </c>
      <c r="H11" s="718">
        <f>huishoudens!G8</f>
        <v>0</v>
      </c>
      <c r="I11" s="718">
        <f>huishoudens!H8</f>
        <v>0</v>
      </c>
      <c r="J11" s="718">
        <f>huishoudens!I8</f>
        <v>0</v>
      </c>
      <c r="K11" s="718">
        <f>huishoudens!J8</f>
        <v>4503.8914075941757</v>
      </c>
      <c r="L11" s="718">
        <f>huishoudens!K8</f>
        <v>0</v>
      </c>
      <c r="M11" s="718">
        <f>huishoudens!L8</f>
        <v>0</v>
      </c>
      <c r="N11" s="718">
        <f>huishoudens!M8</f>
        <v>0</v>
      </c>
      <c r="O11" s="718">
        <f>huishoudens!N8</f>
        <v>24255.328886440835</v>
      </c>
      <c r="P11" s="718">
        <f>huishoudens!O8</f>
        <v>373.63666666666671</v>
      </c>
      <c r="Q11" s="719">
        <f>huishoudens!P8</f>
        <v>1563.4666666666667</v>
      </c>
      <c r="R11" s="721">
        <f>SUM(C11:Q11)</f>
        <v>320018.1738584105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62523.796068809999</v>
      </c>
      <c r="D13" s="718">
        <f>industrie!C18</f>
        <v>0</v>
      </c>
      <c r="E13" s="718">
        <f>industrie!D18</f>
        <v>70035.725784545415</v>
      </c>
      <c r="F13" s="718">
        <f>industrie!E18</f>
        <v>5547.6826624886053</v>
      </c>
      <c r="G13" s="718">
        <f>industrie!F18</f>
        <v>24268.324397555873</v>
      </c>
      <c r="H13" s="718">
        <f>industrie!G18</f>
        <v>0</v>
      </c>
      <c r="I13" s="718">
        <f>industrie!H18</f>
        <v>0</v>
      </c>
      <c r="J13" s="718">
        <f>industrie!I18</f>
        <v>0</v>
      </c>
      <c r="K13" s="718">
        <f>industrie!J18</f>
        <v>270.12458290454225</v>
      </c>
      <c r="L13" s="718">
        <f>industrie!K18</f>
        <v>0</v>
      </c>
      <c r="M13" s="718">
        <f>industrie!L18</f>
        <v>0</v>
      </c>
      <c r="N13" s="718">
        <f>industrie!M18</f>
        <v>0</v>
      </c>
      <c r="O13" s="718">
        <f>industrie!N18</f>
        <v>15108.173264722755</v>
      </c>
      <c r="P13" s="718">
        <f>industrie!O18</f>
        <v>0</v>
      </c>
      <c r="Q13" s="719">
        <f>industrie!P18</f>
        <v>0</v>
      </c>
      <c r="R13" s="721">
        <f>SUM(C13:Q13)</f>
        <v>177753.82676102716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224171.45228240977</v>
      </c>
      <c r="D15" s="723">
        <f t="shared" ref="D15:Q15" ca="1" si="0">SUM(D9:D14)</f>
        <v>3535.7142857142858</v>
      </c>
      <c r="E15" s="723">
        <f t="shared" ca="1" si="0"/>
        <v>361877.40591991186</v>
      </c>
      <c r="F15" s="723">
        <f t="shared" si="0"/>
        <v>16716.21130577039</v>
      </c>
      <c r="G15" s="723">
        <f t="shared" ca="1" si="0"/>
        <v>55328.668151087346</v>
      </c>
      <c r="H15" s="723">
        <f t="shared" si="0"/>
        <v>0</v>
      </c>
      <c r="I15" s="723">
        <f t="shared" si="0"/>
        <v>0</v>
      </c>
      <c r="J15" s="723">
        <f t="shared" si="0"/>
        <v>0</v>
      </c>
      <c r="K15" s="723">
        <f t="shared" si="0"/>
        <v>4774.0159904987177</v>
      </c>
      <c r="L15" s="723">
        <f t="shared" si="0"/>
        <v>0</v>
      </c>
      <c r="M15" s="723">
        <f t="shared" ca="1" si="0"/>
        <v>0</v>
      </c>
      <c r="N15" s="723">
        <f t="shared" si="0"/>
        <v>0</v>
      </c>
      <c r="O15" s="723">
        <f t="shared" ca="1" si="0"/>
        <v>42614.435521661464</v>
      </c>
      <c r="P15" s="723">
        <f t="shared" si="0"/>
        <v>376.76333333333338</v>
      </c>
      <c r="Q15" s="724">
        <f t="shared" si="0"/>
        <v>1620.6666666666667</v>
      </c>
      <c r="R15" s="725">
        <f ca="1">SUM(R9:R14)</f>
        <v>711015.33345705387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3860.3318792786099</v>
      </c>
      <c r="I18" s="718">
        <f>transport!H54</f>
        <v>0</v>
      </c>
      <c r="J18" s="718">
        <f>transport!I54</f>
        <v>0</v>
      </c>
      <c r="K18" s="718">
        <f>transport!J54</f>
        <v>0</v>
      </c>
      <c r="L18" s="718">
        <f>transport!K54</f>
        <v>0</v>
      </c>
      <c r="M18" s="718">
        <f>transport!L54</f>
        <v>0</v>
      </c>
      <c r="N18" s="718">
        <f>transport!M54</f>
        <v>119.7388586298879</v>
      </c>
      <c r="O18" s="718">
        <f>transport!N54</f>
        <v>0</v>
      </c>
      <c r="P18" s="718">
        <f>transport!O54</f>
        <v>0</v>
      </c>
      <c r="Q18" s="719">
        <f>transport!P54</f>
        <v>0</v>
      </c>
      <c r="R18" s="721">
        <f>SUM(C18:Q18)</f>
        <v>3980.0707379084979</v>
      </c>
      <c r="S18" s="67"/>
    </row>
    <row r="19" spans="1:19" s="474" customFormat="1" ht="15" thickBot="1">
      <c r="A19" s="870" t="s">
        <v>307</v>
      </c>
      <c r="B19" s="875"/>
      <c r="C19" s="727">
        <f>transport!B14</f>
        <v>53.028801185997992</v>
      </c>
      <c r="D19" s="727">
        <f>transport!C14</f>
        <v>0</v>
      </c>
      <c r="E19" s="727">
        <f>transport!D14</f>
        <v>123.99301412138342</v>
      </c>
      <c r="F19" s="727">
        <f>transport!E14</f>
        <v>475.29743882149654</v>
      </c>
      <c r="G19" s="727">
        <f>transport!F14</f>
        <v>0</v>
      </c>
      <c r="H19" s="727">
        <f>transport!G14</f>
        <v>170501.17829414195</v>
      </c>
      <c r="I19" s="727">
        <f>transport!H14</f>
        <v>33236.333783522685</v>
      </c>
      <c r="J19" s="727">
        <f>transport!I14</f>
        <v>0</v>
      </c>
      <c r="K19" s="727">
        <f>transport!J14</f>
        <v>0</v>
      </c>
      <c r="L19" s="727">
        <f>transport!K14</f>
        <v>0</v>
      </c>
      <c r="M19" s="727">
        <f>transport!L14</f>
        <v>0</v>
      </c>
      <c r="N19" s="727">
        <f>transport!M14</f>
        <v>6367.4441080154093</v>
      </c>
      <c r="O19" s="727">
        <f>transport!N14</f>
        <v>0</v>
      </c>
      <c r="P19" s="727">
        <f>transport!O14</f>
        <v>0</v>
      </c>
      <c r="Q19" s="728">
        <f>transport!P14</f>
        <v>0</v>
      </c>
      <c r="R19" s="729">
        <f>SUM(C19:Q19)</f>
        <v>210757.27543980893</v>
      </c>
      <c r="S19" s="67"/>
    </row>
    <row r="20" spans="1:19" s="474" customFormat="1" ht="15.75" thickBot="1">
      <c r="A20" s="730" t="s">
        <v>230</v>
      </c>
      <c r="B20" s="878"/>
      <c r="C20" s="873">
        <f>SUM(C17:C19)</f>
        <v>53.028801185997992</v>
      </c>
      <c r="D20" s="731">
        <f t="shared" ref="D20:R20" si="1">SUM(D17:D19)</f>
        <v>0</v>
      </c>
      <c r="E20" s="731">
        <f t="shared" si="1"/>
        <v>123.99301412138342</v>
      </c>
      <c r="F20" s="731">
        <f t="shared" si="1"/>
        <v>475.29743882149654</v>
      </c>
      <c r="G20" s="731">
        <f t="shared" si="1"/>
        <v>0</v>
      </c>
      <c r="H20" s="731">
        <f t="shared" si="1"/>
        <v>174361.51017342057</v>
      </c>
      <c r="I20" s="731">
        <f t="shared" si="1"/>
        <v>33236.333783522685</v>
      </c>
      <c r="J20" s="731">
        <f t="shared" si="1"/>
        <v>0</v>
      </c>
      <c r="K20" s="731">
        <f t="shared" si="1"/>
        <v>0</v>
      </c>
      <c r="L20" s="731">
        <f t="shared" si="1"/>
        <v>0</v>
      </c>
      <c r="M20" s="731">
        <f t="shared" si="1"/>
        <v>0</v>
      </c>
      <c r="N20" s="731">
        <f t="shared" si="1"/>
        <v>6487.1829666452968</v>
      </c>
      <c r="O20" s="731">
        <f t="shared" si="1"/>
        <v>0</v>
      </c>
      <c r="P20" s="731">
        <f t="shared" si="1"/>
        <v>0</v>
      </c>
      <c r="Q20" s="732">
        <f t="shared" si="1"/>
        <v>0</v>
      </c>
      <c r="R20" s="733">
        <f t="shared" si="1"/>
        <v>214737.34617771744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1118.69675173</v>
      </c>
      <c r="D22" s="727">
        <f>+landbouw!C8</f>
        <v>77.142857142857139</v>
      </c>
      <c r="E22" s="727">
        <f>+landbouw!D8</f>
        <v>8508.8913257831991</v>
      </c>
      <c r="F22" s="727">
        <f>+landbouw!E8</f>
        <v>28.846893928190003</v>
      </c>
      <c r="G22" s="727">
        <f>+landbouw!F8</f>
        <v>4089.0496730203786</v>
      </c>
      <c r="H22" s="727">
        <f>+landbouw!G8</f>
        <v>0</v>
      </c>
      <c r="I22" s="727">
        <f>+landbouw!H8</f>
        <v>0</v>
      </c>
      <c r="J22" s="727">
        <f>+landbouw!I8</f>
        <v>0</v>
      </c>
      <c r="K22" s="727">
        <f>+landbouw!J8</f>
        <v>161.0511791353442</v>
      </c>
      <c r="L22" s="727">
        <f>+landbouw!K8</f>
        <v>0</v>
      </c>
      <c r="M22" s="727">
        <f>+landbouw!L8</f>
        <v>0</v>
      </c>
      <c r="N22" s="727">
        <f>+landbouw!M8</f>
        <v>0</v>
      </c>
      <c r="O22" s="727">
        <f>+landbouw!N8</f>
        <v>0</v>
      </c>
      <c r="P22" s="727">
        <f>+landbouw!O8</f>
        <v>0</v>
      </c>
      <c r="Q22" s="728">
        <f>+landbouw!P8</f>
        <v>0</v>
      </c>
      <c r="R22" s="729">
        <f>SUM(C22:Q22)</f>
        <v>13983.678680739968</v>
      </c>
      <c r="S22" s="67"/>
    </row>
    <row r="23" spans="1:19" s="474" customFormat="1" ht="17.25" thickTop="1" thickBot="1">
      <c r="A23" s="734" t="s">
        <v>116</v>
      </c>
      <c r="B23" s="864"/>
      <c r="C23" s="735">
        <f ca="1">C20+C15+C22</f>
        <v>225343.17783532577</v>
      </c>
      <c r="D23" s="735">
        <f t="shared" ref="D23:Q23" ca="1" si="2">D20+D15+D22</f>
        <v>3612.8571428571431</v>
      </c>
      <c r="E23" s="735">
        <f t="shared" ca="1" si="2"/>
        <v>370510.29025981645</v>
      </c>
      <c r="F23" s="735">
        <f t="shared" si="2"/>
        <v>17220.355638520075</v>
      </c>
      <c r="G23" s="735">
        <f t="shared" ca="1" si="2"/>
        <v>59417.717824107727</v>
      </c>
      <c r="H23" s="735">
        <f t="shared" si="2"/>
        <v>174361.51017342057</v>
      </c>
      <c r="I23" s="735">
        <f t="shared" si="2"/>
        <v>33236.333783522685</v>
      </c>
      <c r="J23" s="735">
        <f t="shared" si="2"/>
        <v>0</v>
      </c>
      <c r="K23" s="735">
        <f t="shared" si="2"/>
        <v>4935.0671696340614</v>
      </c>
      <c r="L23" s="735">
        <f t="shared" si="2"/>
        <v>0</v>
      </c>
      <c r="M23" s="735">
        <f t="shared" ca="1" si="2"/>
        <v>0</v>
      </c>
      <c r="N23" s="735">
        <f t="shared" si="2"/>
        <v>6487.1829666452968</v>
      </c>
      <c r="O23" s="735">
        <f t="shared" ca="1" si="2"/>
        <v>42614.435521661464</v>
      </c>
      <c r="P23" s="735">
        <f t="shared" si="2"/>
        <v>376.76333333333338</v>
      </c>
      <c r="Q23" s="736">
        <f t="shared" si="2"/>
        <v>1620.6666666666667</v>
      </c>
      <c r="R23" s="737">
        <f ca="1">R20+R15+R22</f>
        <v>939736.35831551126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16465.183492395965</v>
      </c>
      <c r="D36" s="718">
        <f ca="1">tertiair!C20</f>
        <v>822.31077484374532</v>
      </c>
      <c r="E36" s="718">
        <f ca="1">tertiair!D20</f>
        <v>19746.219791400825</v>
      </c>
      <c r="F36" s="718">
        <f>tertiair!E20</f>
        <v>306.44127772850067</v>
      </c>
      <c r="G36" s="718">
        <f ca="1">tertiair!F20</f>
        <v>5215.6671163428646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42555.822452711902</v>
      </c>
    </row>
    <row r="37" spans="1:18">
      <c r="A37" s="885" t="s">
        <v>225</v>
      </c>
      <c r="B37" s="892"/>
      <c r="C37" s="718">
        <f ca="1">huishoudens!B12</f>
        <v>13863.027738917304</v>
      </c>
      <c r="D37" s="718">
        <f ca="1">huishoudens!C12</f>
        <v>0</v>
      </c>
      <c r="E37" s="718">
        <f>huishoudens!D12</f>
        <v>39205.799595943208</v>
      </c>
      <c r="F37" s="718">
        <f>huishoudens!E12</f>
        <v>2228.8147242964642</v>
      </c>
      <c r="G37" s="718">
        <f>huishoudens!F12</f>
        <v>3077.4446658500383</v>
      </c>
      <c r="H37" s="718">
        <f>huishoudens!G12</f>
        <v>0</v>
      </c>
      <c r="I37" s="718">
        <f>huishoudens!H12</f>
        <v>0</v>
      </c>
      <c r="J37" s="718">
        <f>huishoudens!I12</f>
        <v>0</v>
      </c>
      <c r="K37" s="718">
        <f>huishoudens!J12</f>
        <v>1594.3775582883382</v>
      </c>
      <c r="L37" s="718">
        <f>huishoudens!K12</f>
        <v>0</v>
      </c>
      <c r="M37" s="718">
        <f>huishoudens!L12</f>
        <v>0</v>
      </c>
      <c r="N37" s="718">
        <f>huishoudens!M12</f>
        <v>0</v>
      </c>
      <c r="O37" s="718">
        <f>huishoudens!N12</f>
        <v>0</v>
      </c>
      <c r="P37" s="718">
        <f>huishoudens!O12</f>
        <v>0</v>
      </c>
      <c r="Q37" s="828">
        <f>huishoudens!P12</f>
        <v>0</v>
      </c>
      <c r="R37" s="917">
        <f ca="1">SUM(C37:Q37)</f>
        <v>59969.464283295354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11730.66741934542</v>
      </c>
      <c r="D39" s="718">
        <f ca="1">industrie!C22</f>
        <v>0</v>
      </c>
      <c r="E39" s="718">
        <f>industrie!D22</f>
        <v>14147.216608478175</v>
      </c>
      <c r="F39" s="718">
        <f>industrie!E22</f>
        <v>1259.3239643849133</v>
      </c>
      <c r="G39" s="718">
        <f>industrie!F22</f>
        <v>6479.6426141474185</v>
      </c>
      <c r="H39" s="718">
        <f>industrie!G22</f>
        <v>0</v>
      </c>
      <c r="I39" s="718">
        <f>industrie!H22</f>
        <v>0</v>
      </c>
      <c r="J39" s="718">
        <f>industrie!I22</f>
        <v>0</v>
      </c>
      <c r="K39" s="718">
        <f>industrie!J22</f>
        <v>95.624102348207956</v>
      </c>
      <c r="L39" s="718">
        <f>industrie!K22</f>
        <v>0</v>
      </c>
      <c r="M39" s="718">
        <f>industrie!L22</f>
        <v>0</v>
      </c>
      <c r="N39" s="718">
        <f>industrie!M22</f>
        <v>0</v>
      </c>
      <c r="O39" s="718">
        <f>industrie!N22</f>
        <v>0</v>
      </c>
      <c r="P39" s="718">
        <f>industrie!O22</f>
        <v>0</v>
      </c>
      <c r="Q39" s="828">
        <f>industrie!P22</f>
        <v>0</v>
      </c>
      <c r="R39" s="918">
        <f ca="1">SUM(C39:Q39)</f>
        <v>33712.474708704132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42058.878650658691</v>
      </c>
      <c r="D41" s="763">
        <f t="shared" ref="D41:R41" ca="1" si="4">SUM(D35:D40)</f>
        <v>822.31077484374532</v>
      </c>
      <c r="E41" s="763">
        <f t="shared" ca="1" si="4"/>
        <v>73099.235995822208</v>
      </c>
      <c r="F41" s="763">
        <f t="shared" si="4"/>
        <v>3794.5799664098781</v>
      </c>
      <c r="G41" s="763">
        <f t="shared" ca="1" si="4"/>
        <v>14772.754396340322</v>
      </c>
      <c r="H41" s="763">
        <f t="shared" si="4"/>
        <v>0</v>
      </c>
      <c r="I41" s="763">
        <f t="shared" si="4"/>
        <v>0</v>
      </c>
      <c r="J41" s="763">
        <f t="shared" si="4"/>
        <v>0</v>
      </c>
      <c r="K41" s="763">
        <f t="shared" si="4"/>
        <v>1690.0016606365461</v>
      </c>
      <c r="L41" s="763">
        <f t="shared" si="4"/>
        <v>0</v>
      </c>
      <c r="M41" s="763">
        <f t="shared" ca="1" si="4"/>
        <v>0</v>
      </c>
      <c r="N41" s="763">
        <f t="shared" si="4"/>
        <v>0</v>
      </c>
      <c r="O41" s="763">
        <f t="shared" ca="1" si="4"/>
        <v>0</v>
      </c>
      <c r="P41" s="763">
        <f t="shared" si="4"/>
        <v>0</v>
      </c>
      <c r="Q41" s="764">
        <f t="shared" si="4"/>
        <v>0</v>
      </c>
      <c r="R41" s="765">
        <f t="shared" ca="1" si="4"/>
        <v>136237.76144471139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1030.7086117673889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1030.7086117673889</v>
      </c>
    </row>
    <row r="45" spans="1:18" ht="15" thickBot="1">
      <c r="A45" s="888" t="s">
        <v>307</v>
      </c>
      <c r="B45" s="898"/>
      <c r="C45" s="727">
        <f ca="1">transport!B18</f>
        <v>9.9492236471842865</v>
      </c>
      <c r="D45" s="727">
        <f>transport!C18</f>
        <v>0</v>
      </c>
      <c r="E45" s="727">
        <f>transport!D18</f>
        <v>25.046588852519452</v>
      </c>
      <c r="F45" s="727">
        <f>transport!E18</f>
        <v>107.89251861247972</v>
      </c>
      <c r="G45" s="727">
        <f>transport!F18</f>
        <v>0</v>
      </c>
      <c r="H45" s="727">
        <f>transport!G18</f>
        <v>45523.814604535903</v>
      </c>
      <c r="I45" s="727">
        <f>transport!H18</f>
        <v>8275.8471120971481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53942.55004774523</v>
      </c>
    </row>
    <row r="46" spans="1:18" ht="15.75" thickBot="1">
      <c r="A46" s="886" t="s">
        <v>230</v>
      </c>
      <c r="B46" s="899"/>
      <c r="C46" s="763">
        <f t="shared" ref="C46:R46" ca="1" si="5">SUM(C43:C45)</f>
        <v>9.9492236471842865</v>
      </c>
      <c r="D46" s="763">
        <f t="shared" ca="1" si="5"/>
        <v>0</v>
      </c>
      <c r="E46" s="763">
        <f t="shared" si="5"/>
        <v>25.046588852519452</v>
      </c>
      <c r="F46" s="763">
        <f t="shared" si="5"/>
        <v>107.89251861247972</v>
      </c>
      <c r="G46" s="763">
        <f t="shared" si="5"/>
        <v>0</v>
      </c>
      <c r="H46" s="763">
        <f t="shared" si="5"/>
        <v>46554.523216303292</v>
      </c>
      <c r="I46" s="763">
        <f t="shared" si="5"/>
        <v>8275.8471120971481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54973.258659512619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209.88904005771175</v>
      </c>
      <c r="D48" s="718">
        <f ca="1">+landbouw!C12</f>
        <v>17.941325996590805</v>
      </c>
      <c r="E48" s="718">
        <f>+landbouw!D12</f>
        <v>1718.7960478082064</v>
      </c>
      <c r="F48" s="718">
        <f>+landbouw!E12</f>
        <v>6.5482449216991307</v>
      </c>
      <c r="G48" s="718">
        <f>+landbouw!F12</f>
        <v>1091.7762626964411</v>
      </c>
      <c r="H48" s="718">
        <f>+landbouw!G12</f>
        <v>0</v>
      </c>
      <c r="I48" s="718">
        <f>+landbouw!H12</f>
        <v>0</v>
      </c>
      <c r="J48" s="718">
        <f>+landbouw!I12</f>
        <v>0</v>
      </c>
      <c r="K48" s="718">
        <f>+landbouw!J12</f>
        <v>57.012117413911845</v>
      </c>
      <c r="L48" s="718">
        <f>+landbouw!K12</f>
        <v>0</v>
      </c>
      <c r="M48" s="718">
        <f>+landbouw!L12</f>
        <v>0</v>
      </c>
      <c r="N48" s="718">
        <f>+landbouw!M12</f>
        <v>0</v>
      </c>
      <c r="O48" s="718">
        <f>+landbouw!N12</f>
        <v>0</v>
      </c>
      <c r="P48" s="718">
        <f>+landbouw!O12</f>
        <v>0</v>
      </c>
      <c r="Q48" s="719">
        <f>+landbouw!P12</f>
        <v>0</v>
      </c>
      <c r="R48" s="761">
        <f ca="1">SUM(C48:Q48)</f>
        <v>3101.9630388945607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42278.716914363591</v>
      </c>
      <c r="D53" s="773">
        <f t="shared" ref="D53:Q53" ca="1" si="6">D41+D46+D48</f>
        <v>840.25210084033608</v>
      </c>
      <c r="E53" s="773">
        <f t="shared" ca="1" si="6"/>
        <v>74843.078632482939</v>
      </c>
      <c r="F53" s="773">
        <f t="shared" si="6"/>
        <v>3909.0207299440572</v>
      </c>
      <c r="G53" s="773">
        <f t="shared" ca="1" si="6"/>
        <v>15864.530659036764</v>
      </c>
      <c r="H53" s="773">
        <f t="shared" si="6"/>
        <v>46554.523216303292</v>
      </c>
      <c r="I53" s="773">
        <f t="shared" si="6"/>
        <v>8275.8471120971481</v>
      </c>
      <c r="J53" s="773">
        <f t="shared" si="6"/>
        <v>0</v>
      </c>
      <c r="K53" s="773">
        <f t="shared" si="6"/>
        <v>1747.0137780504581</v>
      </c>
      <c r="L53" s="773">
        <f t="shared" si="6"/>
        <v>0</v>
      </c>
      <c r="M53" s="773">
        <f t="shared" ca="1" si="6"/>
        <v>0</v>
      </c>
      <c r="N53" s="773">
        <f t="shared" si="6"/>
        <v>0</v>
      </c>
      <c r="O53" s="773">
        <f t="shared" ca="1" si="6"/>
        <v>0</v>
      </c>
      <c r="P53" s="773">
        <f>P41+P46+P48</f>
        <v>0</v>
      </c>
      <c r="Q53" s="774">
        <f t="shared" si="6"/>
        <v>0</v>
      </c>
      <c r="R53" s="775">
        <f ca="1">R41+R46+R48</f>
        <v>194312.98314311856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0.18761924510206227</v>
      </c>
      <c r="D55" s="836">
        <f t="shared" ca="1" si="7"/>
        <v>0.23257274440025116</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0.35400000000000009</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15697.287558210559</v>
      </c>
      <c r="C64" s="795">
        <f>'lokale energieproductie'!B4</f>
        <v>15697.287558210559</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16032.910893516349</v>
      </c>
      <c r="C66" s="795">
        <f>'lokale energieproductie'!B6</f>
        <v>16032.910893516349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2529</v>
      </c>
      <c r="C67" s="794">
        <f>B67*IFERROR(SUM(J67:L67)/SUM(D67:M67),0)</f>
        <v>54.000000000000007</v>
      </c>
      <c r="D67" s="826">
        <f>'lokale energieproductie'!C7</f>
        <v>2911.7647058823527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63.529411764705891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588.17647058823525</v>
      </c>
      <c r="P67" s="922">
        <v>0</v>
      </c>
      <c r="Q67" s="785"/>
      <c r="R67" s="742"/>
    </row>
    <row r="68" spans="1:18" ht="30.75" thickBot="1">
      <c r="A68" s="801" t="s">
        <v>353</v>
      </c>
      <c r="B68" s="794">
        <f>'lokale energieproductie'!B8</f>
        <v>2439</v>
      </c>
      <c r="C68" s="794">
        <f>B68*IFERROR(SUM(J68:L68)/SUM(D68:M68),0)</f>
        <v>2439</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6968.5714285714294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36698.198451726908</v>
      </c>
      <c r="C69" s="803">
        <f>SUM(C64:C68)</f>
        <v>34223.198451726908</v>
      </c>
      <c r="D69" s="804">
        <f t="shared" ref="D69:M69" si="8">SUM(D67:D68)</f>
        <v>2911.7647058823527</v>
      </c>
      <c r="E69" s="804">
        <f t="shared" si="8"/>
        <v>0</v>
      </c>
      <c r="F69" s="804">
        <f t="shared" si="8"/>
        <v>0</v>
      </c>
      <c r="G69" s="804">
        <f t="shared" si="8"/>
        <v>0</v>
      </c>
      <c r="H69" s="804">
        <f t="shared" si="8"/>
        <v>0</v>
      </c>
      <c r="I69" s="804">
        <f t="shared" si="8"/>
        <v>0</v>
      </c>
      <c r="J69" s="804">
        <f t="shared" si="8"/>
        <v>0</v>
      </c>
      <c r="K69" s="804">
        <f t="shared" si="8"/>
        <v>7032.1008403361357</v>
      </c>
      <c r="L69" s="804">
        <f t="shared" si="8"/>
        <v>0</v>
      </c>
      <c r="M69" s="930">
        <f t="shared" si="8"/>
        <v>0</v>
      </c>
      <c r="N69" s="805">
        <v>0</v>
      </c>
      <c r="O69" s="805">
        <f>SUM(O67:O68)</f>
        <v>588.17647058823525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3612.8571428571431</v>
      </c>
      <c r="C78" s="817">
        <f>B78*IFERROR(SUM(I78:L78)/SUM(D78:M78),0)</f>
        <v>77.142857142857167</v>
      </c>
      <c r="D78" s="832">
        <f>'lokale energieproductie'!C16</f>
        <v>4159.6638655462184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90.756302521008422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840.2521008403362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3612.8571428571431</v>
      </c>
      <c r="C81" s="803">
        <f>SUM(C78:C80)</f>
        <v>77.142857142857167</v>
      </c>
      <c r="D81" s="803">
        <f t="shared" ref="D81:P81" si="9">SUM(D78:D80)</f>
        <v>4159.6638655462184</v>
      </c>
      <c r="E81" s="803">
        <f t="shared" si="9"/>
        <v>0</v>
      </c>
      <c r="F81" s="803">
        <f t="shared" si="9"/>
        <v>0</v>
      </c>
      <c r="G81" s="803">
        <f t="shared" si="9"/>
        <v>0</v>
      </c>
      <c r="H81" s="803">
        <f t="shared" si="9"/>
        <v>0</v>
      </c>
      <c r="I81" s="803">
        <f t="shared" si="9"/>
        <v>0</v>
      </c>
      <c r="J81" s="803">
        <f t="shared" si="9"/>
        <v>0</v>
      </c>
      <c r="K81" s="803">
        <f t="shared" si="9"/>
        <v>90.756302521008422</v>
      </c>
      <c r="L81" s="803">
        <f t="shared" si="9"/>
        <v>0</v>
      </c>
      <c r="M81" s="803">
        <f t="shared" si="9"/>
        <v>0</v>
      </c>
      <c r="N81" s="803">
        <v>0</v>
      </c>
      <c r="O81" s="803">
        <f>SUM(O78:O80)</f>
        <v>840.2521008403362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73889.15636759976</v>
      </c>
      <c r="C4" s="478">
        <f>huishoudens!C8</f>
        <v>0</v>
      </c>
      <c r="D4" s="478">
        <f>huishoudens!D8</f>
        <v>194088.11681160002</v>
      </c>
      <c r="E4" s="478">
        <f>huishoudens!E8</f>
        <v>9818.5670673853037</v>
      </c>
      <c r="F4" s="478">
        <f>huishoudens!F8</f>
        <v>11526.009984457072</v>
      </c>
      <c r="G4" s="478">
        <f>huishoudens!G8</f>
        <v>0</v>
      </c>
      <c r="H4" s="478">
        <f>huishoudens!H8</f>
        <v>0</v>
      </c>
      <c r="I4" s="478">
        <f>huishoudens!I8</f>
        <v>0</v>
      </c>
      <c r="J4" s="478">
        <f>huishoudens!J8</f>
        <v>4503.8914075941757</v>
      </c>
      <c r="K4" s="478">
        <f>huishoudens!K8</f>
        <v>0</v>
      </c>
      <c r="L4" s="478">
        <f>huishoudens!L8</f>
        <v>0</v>
      </c>
      <c r="M4" s="478">
        <f>huishoudens!M8</f>
        <v>0</v>
      </c>
      <c r="N4" s="478">
        <f>huishoudens!N8</f>
        <v>24255.328886440835</v>
      </c>
      <c r="O4" s="478">
        <f>huishoudens!O8</f>
        <v>373.63666666666671</v>
      </c>
      <c r="P4" s="479">
        <f>huishoudens!P8</f>
        <v>1563.4666666666667</v>
      </c>
      <c r="Q4" s="480">
        <f>SUM(B4:P4)</f>
        <v>320018.1738584105</v>
      </c>
    </row>
    <row r="5" spans="1:17">
      <c r="A5" s="477" t="s">
        <v>156</v>
      </c>
      <c r="B5" s="478">
        <f ca="1">tertiair!B16</f>
        <v>84790.580845999997</v>
      </c>
      <c r="C5" s="478">
        <f ca="1">tertiair!C16</f>
        <v>3535.7142857142858</v>
      </c>
      <c r="D5" s="478">
        <f ca="1">tertiair!D16</f>
        <v>97753.563323766444</v>
      </c>
      <c r="E5" s="478">
        <f>tertiair!E16</f>
        <v>1349.9615758964787</v>
      </c>
      <c r="F5" s="478">
        <f ca="1">tertiair!F16</f>
        <v>19534.333769074397</v>
      </c>
      <c r="G5" s="478">
        <f>tertiair!G16</f>
        <v>0</v>
      </c>
      <c r="H5" s="478">
        <f>tertiair!H16</f>
        <v>0</v>
      </c>
      <c r="I5" s="478">
        <f>tertiair!I16</f>
        <v>0</v>
      </c>
      <c r="J5" s="478">
        <f>tertiair!J16</f>
        <v>0</v>
      </c>
      <c r="K5" s="478">
        <f>tertiair!K16</f>
        <v>0</v>
      </c>
      <c r="L5" s="478">
        <f ca="1">tertiair!L16</f>
        <v>0</v>
      </c>
      <c r="M5" s="478">
        <f>tertiair!M16</f>
        <v>0</v>
      </c>
      <c r="N5" s="478">
        <f ca="1">tertiair!N16</f>
        <v>3250.9333704978708</v>
      </c>
      <c r="O5" s="478">
        <f>tertiair!O16</f>
        <v>3.1266666666666669</v>
      </c>
      <c r="P5" s="479">
        <f>tertiair!P16</f>
        <v>57.2</v>
      </c>
      <c r="Q5" s="477">
        <f t="shared" ref="Q5:Q13" ca="1" si="0">SUM(B5:P5)</f>
        <v>210275.41383761616</v>
      </c>
    </row>
    <row r="6" spans="1:17">
      <c r="A6" s="477" t="s">
        <v>194</v>
      </c>
      <c r="B6" s="478">
        <f>'openbare verlichting'!B8</f>
        <v>2967.9189999999999</v>
      </c>
      <c r="C6" s="478"/>
      <c r="D6" s="478"/>
      <c r="E6" s="478"/>
      <c r="F6" s="478"/>
      <c r="G6" s="478"/>
      <c r="H6" s="478"/>
      <c r="I6" s="478"/>
      <c r="J6" s="478"/>
      <c r="K6" s="478"/>
      <c r="L6" s="478"/>
      <c r="M6" s="478"/>
      <c r="N6" s="478"/>
      <c r="O6" s="478"/>
      <c r="P6" s="479"/>
      <c r="Q6" s="477">
        <f t="shared" si="0"/>
        <v>2967.9189999999999</v>
      </c>
    </row>
    <row r="7" spans="1:17">
      <c r="A7" s="477" t="s">
        <v>112</v>
      </c>
      <c r="B7" s="478">
        <f>landbouw!B8</f>
        <v>1118.69675173</v>
      </c>
      <c r="C7" s="478">
        <f>landbouw!C8</f>
        <v>77.142857142857139</v>
      </c>
      <c r="D7" s="478">
        <f>landbouw!D8</f>
        <v>8508.8913257831991</v>
      </c>
      <c r="E7" s="478">
        <f>landbouw!E8</f>
        <v>28.846893928190003</v>
      </c>
      <c r="F7" s="478">
        <f>landbouw!F8</f>
        <v>4089.0496730203786</v>
      </c>
      <c r="G7" s="478">
        <f>landbouw!G8</f>
        <v>0</v>
      </c>
      <c r="H7" s="478">
        <f>landbouw!H8</f>
        <v>0</v>
      </c>
      <c r="I7" s="478">
        <f>landbouw!I8</f>
        <v>0</v>
      </c>
      <c r="J7" s="478">
        <f>landbouw!J8</f>
        <v>161.0511791353442</v>
      </c>
      <c r="K7" s="478">
        <f>landbouw!K8</f>
        <v>0</v>
      </c>
      <c r="L7" s="478">
        <f>landbouw!L8</f>
        <v>0</v>
      </c>
      <c r="M7" s="478">
        <f>landbouw!M8</f>
        <v>0</v>
      </c>
      <c r="N7" s="478">
        <f>landbouw!N8</f>
        <v>0</v>
      </c>
      <c r="O7" s="478">
        <f>landbouw!O8</f>
        <v>0</v>
      </c>
      <c r="P7" s="479">
        <f>landbouw!P8</f>
        <v>0</v>
      </c>
      <c r="Q7" s="477">
        <f t="shared" si="0"/>
        <v>13983.678680739968</v>
      </c>
    </row>
    <row r="8" spans="1:17">
      <c r="A8" s="477" t="s">
        <v>638</v>
      </c>
      <c r="B8" s="478">
        <f>industrie!B18</f>
        <v>62523.796068809999</v>
      </c>
      <c r="C8" s="478">
        <f>industrie!C18</f>
        <v>0</v>
      </c>
      <c r="D8" s="478">
        <f>industrie!D18</f>
        <v>70035.725784545415</v>
      </c>
      <c r="E8" s="478">
        <f>industrie!E18</f>
        <v>5547.6826624886053</v>
      </c>
      <c r="F8" s="478">
        <f>industrie!F18</f>
        <v>24268.324397555873</v>
      </c>
      <c r="G8" s="478">
        <f>industrie!G18</f>
        <v>0</v>
      </c>
      <c r="H8" s="478">
        <f>industrie!H18</f>
        <v>0</v>
      </c>
      <c r="I8" s="478">
        <f>industrie!I18</f>
        <v>0</v>
      </c>
      <c r="J8" s="478">
        <f>industrie!J18</f>
        <v>270.12458290454225</v>
      </c>
      <c r="K8" s="478">
        <f>industrie!K18</f>
        <v>0</v>
      </c>
      <c r="L8" s="478">
        <f>industrie!L18</f>
        <v>0</v>
      </c>
      <c r="M8" s="478">
        <f>industrie!M18</f>
        <v>0</v>
      </c>
      <c r="N8" s="478">
        <f>industrie!N18</f>
        <v>15108.173264722755</v>
      </c>
      <c r="O8" s="478">
        <f>industrie!O18</f>
        <v>0</v>
      </c>
      <c r="P8" s="479">
        <f>industrie!P18</f>
        <v>0</v>
      </c>
      <c r="Q8" s="477">
        <f t="shared" si="0"/>
        <v>177753.82676102716</v>
      </c>
    </row>
    <row r="9" spans="1:17" s="483" customFormat="1">
      <c r="A9" s="481" t="s">
        <v>564</v>
      </c>
      <c r="B9" s="482">
        <f>transport!B14</f>
        <v>53.028801185997992</v>
      </c>
      <c r="C9" s="482">
        <f>transport!C14</f>
        <v>0</v>
      </c>
      <c r="D9" s="482">
        <f>transport!D14</f>
        <v>123.99301412138342</v>
      </c>
      <c r="E9" s="482">
        <f>transport!E14</f>
        <v>475.29743882149654</v>
      </c>
      <c r="F9" s="482">
        <f>transport!F14</f>
        <v>0</v>
      </c>
      <c r="G9" s="482">
        <f>transport!G14</f>
        <v>170501.17829414195</v>
      </c>
      <c r="H9" s="482">
        <f>transport!H14</f>
        <v>33236.333783522685</v>
      </c>
      <c r="I9" s="482">
        <f>transport!I14</f>
        <v>0</v>
      </c>
      <c r="J9" s="482">
        <f>transport!J14</f>
        <v>0</v>
      </c>
      <c r="K9" s="482">
        <f>transport!K14</f>
        <v>0</v>
      </c>
      <c r="L9" s="482">
        <f>transport!L14</f>
        <v>0</v>
      </c>
      <c r="M9" s="482">
        <f>transport!M14</f>
        <v>6367.4441080154093</v>
      </c>
      <c r="N9" s="482">
        <f>transport!N14</f>
        <v>0</v>
      </c>
      <c r="O9" s="482">
        <f>transport!O14</f>
        <v>0</v>
      </c>
      <c r="P9" s="482">
        <f>transport!P14</f>
        <v>0</v>
      </c>
      <c r="Q9" s="481">
        <f>SUM(B9:P9)</f>
        <v>210757.27543980893</v>
      </c>
    </row>
    <row r="10" spans="1:17">
      <c r="A10" s="477" t="s">
        <v>554</v>
      </c>
      <c r="B10" s="478">
        <f>transport!B54</f>
        <v>0</v>
      </c>
      <c r="C10" s="478">
        <f>transport!C54</f>
        <v>0</v>
      </c>
      <c r="D10" s="478">
        <f>transport!D54</f>
        <v>0</v>
      </c>
      <c r="E10" s="478">
        <f>transport!E54</f>
        <v>0</v>
      </c>
      <c r="F10" s="478">
        <f>transport!F54</f>
        <v>0</v>
      </c>
      <c r="G10" s="478">
        <f>transport!G54</f>
        <v>3860.3318792786099</v>
      </c>
      <c r="H10" s="478">
        <f>transport!H54</f>
        <v>0</v>
      </c>
      <c r="I10" s="478">
        <f>transport!I54</f>
        <v>0</v>
      </c>
      <c r="J10" s="478">
        <f>transport!J54</f>
        <v>0</v>
      </c>
      <c r="K10" s="478">
        <f>transport!K54</f>
        <v>0</v>
      </c>
      <c r="L10" s="478">
        <f>transport!L54</f>
        <v>0</v>
      </c>
      <c r="M10" s="478">
        <f>transport!M54</f>
        <v>119.7388586298879</v>
      </c>
      <c r="N10" s="478">
        <f>transport!N54</f>
        <v>0</v>
      </c>
      <c r="O10" s="478">
        <f>transport!O54</f>
        <v>0</v>
      </c>
      <c r="P10" s="479">
        <f>transport!P54</f>
        <v>0</v>
      </c>
      <c r="Q10" s="477">
        <f t="shared" si="0"/>
        <v>3980.0707379084979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225343.17783532577</v>
      </c>
      <c r="C14" s="488">
        <f t="shared" ref="C14:Q14" ca="1" si="1">SUM(C4:C13)</f>
        <v>3612.8571428571431</v>
      </c>
      <c r="D14" s="488">
        <f t="shared" ca="1" si="1"/>
        <v>370510.29025981645</v>
      </c>
      <c r="E14" s="488">
        <f t="shared" si="1"/>
        <v>17220.355638520075</v>
      </c>
      <c r="F14" s="488">
        <f t="shared" ca="1" si="1"/>
        <v>59417.71782410772</v>
      </c>
      <c r="G14" s="488">
        <f t="shared" si="1"/>
        <v>174361.51017342057</v>
      </c>
      <c r="H14" s="488">
        <f t="shared" si="1"/>
        <v>33236.333783522685</v>
      </c>
      <c r="I14" s="488">
        <f t="shared" si="1"/>
        <v>0</v>
      </c>
      <c r="J14" s="488">
        <f t="shared" si="1"/>
        <v>4935.0671696340614</v>
      </c>
      <c r="K14" s="488">
        <f t="shared" si="1"/>
        <v>0</v>
      </c>
      <c r="L14" s="488">
        <f t="shared" ca="1" si="1"/>
        <v>0</v>
      </c>
      <c r="M14" s="488">
        <f t="shared" si="1"/>
        <v>6487.1829666452968</v>
      </c>
      <c r="N14" s="488">
        <f t="shared" ca="1" si="1"/>
        <v>42614.435521661464</v>
      </c>
      <c r="O14" s="488">
        <f t="shared" si="1"/>
        <v>376.76333333333338</v>
      </c>
      <c r="P14" s="489">
        <f t="shared" si="1"/>
        <v>1620.6666666666667</v>
      </c>
      <c r="Q14" s="489">
        <f t="shared" ca="1" si="1"/>
        <v>939736.35831551114</v>
      </c>
    </row>
    <row r="16" spans="1:17">
      <c r="A16" s="491" t="s">
        <v>559</v>
      </c>
      <c r="B16" s="841">
        <f ca="1">huishoudens!B10</f>
        <v>0.18761924510206227</v>
      </c>
      <c r="C16" s="841">
        <f ca="1">huishoudens!C10</f>
        <v>0.23257274440025119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13863.027738917304</v>
      </c>
      <c r="C21" s="478">
        <f t="shared" ref="C21:C30" ca="1" si="3">C4*$C$16</f>
        <v>0</v>
      </c>
      <c r="D21" s="478">
        <f t="shared" ref="D21:D30" si="4">D4*$D$16</f>
        <v>39205.799595943208</v>
      </c>
      <c r="E21" s="478">
        <f t="shared" ref="E21:E30" si="5">E4*$E$16</f>
        <v>2228.8147242964642</v>
      </c>
      <c r="F21" s="478">
        <f t="shared" ref="F21:F30" si="6">F4*$F$16</f>
        <v>3077.4446658500383</v>
      </c>
      <c r="G21" s="478">
        <f t="shared" ref="G21:G30" si="7">G4*$G$16</f>
        <v>0</v>
      </c>
      <c r="H21" s="478">
        <f t="shared" ref="H21:H30" si="8">H4*$H$16</f>
        <v>0</v>
      </c>
      <c r="I21" s="478">
        <f t="shared" ref="I21:I30" si="9">I4*$I$16</f>
        <v>0</v>
      </c>
      <c r="J21" s="478">
        <f t="shared" ref="J21:J30" si="10">J4*$J$16</f>
        <v>1594.3775582883382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59969.464283295354</v>
      </c>
    </row>
    <row r="22" spans="1:17">
      <c r="A22" s="477" t="s">
        <v>156</v>
      </c>
      <c r="B22" s="478">
        <f t="shared" ca="1" si="2"/>
        <v>15908.344770091899</v>
      </c>
      <c r="C22" s="478">
        <f t="shared" ca="1" si="3"/>
        <v>822.31077484374532</v>
      </c>
      <c r="D22" s="478">
        <f t="shared" ca="1" si="4"/>
        <v>19746.219791400825</v>
      </c>
      <c r="E22" s="478">
        <f t="shared" si="5"/>
        <v>306.44127772850067</v>
      </c>
      <c r="F22" s="478">
        <f t="shared" ca="1" si="6"/>
        <v>5215.6671163428646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41998.983730407832</v>
      </c>
    </row>
    <row r="23" spans="1:17">
      <c r="A23" s="477" t="s">
        <v>194</v>
      </c>
      <c r="B23" s="478">
        <f t="shared" ca="1" si="2"/>
        <v>556.83872230406746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556.83872230406746</v>
      </c>
    </row>
    <row r="24" spans="1:17">
      <c r="A24" s="477" t="s">
        <v>112</v>
      </c>
      <c r="B24" s="478">
        <f t="shared" ca="1" si="2"/>
        <v>209.88904005771175</v>
      </c>
      <c r="C24" s="478">
        <f t="shared" ca="1" si="3"/>
        <v>17.941325996590805</v>
      </c>
      <c r="D24" s="478">
        <f t="shared" si="4"/>
        <v>1718.7960478082064</v>
      </c>
      <c r="E24" s="478">
        <f t="shared" si="5"/>
        <v>6.5482449216991307</v>
      </c>
      <c r="F24" s="478">
        <f t="shared" si="6"/>
        <v>1091.7762626964411</v>
      </c>
      <c r="G24" s="478">
        <f t="shared" si="7"/>
        <v>0</v>
      </c>
      <c r="H24" s="478">
        <f t="shared" si="8"/>
        <v>0</v>
      </c>
      <c r="I24" s="478">
        <f t="shared" si="9"/>
        <v>0</v>
      </c>
      <c r="J24" s="478">
        <f t="shared" si="10"/>
        <v>57.012117413911845</v>
      </c>
      <c r="K24" s="478">
        <f t="shared" si="11"/>
        <v>0</v>
      </c>
      <c r="L24" s="478">
        <f t="shared" si="12"/>
        <v>0</v>
      </c>
      <c r="M24" s="478">
        <f t="shared" si="13"/>
        <v>0</v>
      </c>
      <c r="N24" s="478">
        <f t="shared" si="14"/>
        <v>0</v>
      </c>
      <c r="O24" s="478">
        <f t="shared" si="15"/>
        <v>0</v>
      </c>
      <c r="P24" s="479">
        <f t="shared" si="16"/>
        <v>0</v>
      </c>
      <c r="Q24" s="477">
        <f t="shared" ca="1" si="17"/>
        <v>3101.9630388945607</v>
      </c>
    </row>
    <row r="25" spans="1:17">
      <c r="A25" s="477" t="s">
        <v>638</v>
      </c>
      <c r="B25" s="478">
        <f t="shared" ca="1" si="2"/>
        <v>11730.66741934542</v>
      </c>
      <c r="C25" s="478">
        <f t="shared" ca="1" si="3"/>
        <v>0</v>
      </c>
      <c r="D25" s="478">
        <f t="shared" si="4"/>
        <v>14147.216608478175</v>
      </c>
      <c r="E25" s="478">
        <f t="shared" si="5"/>
        <v>1259.3239643849133</v>
      </c>
      <c r="F25" s="478">
        <f t="shared" si="6"/>
        <v>6479.6426141474185</v>
      </c>
      <c r="G25" s="478">
        <f t="shared" si="7"/>
        <v>0</v>
      </c>
      <c r="H25" s="478">
        <f t="shared" si="8"/>
        <v>0</v>
      </c>
      <c r="I25" s="478">
        <f t="shared" si="9"/>
        <v>0</v>
      </c>
      <c r="J25" s="478">
        <f t="shared" si="10"/>
        <v>95.624102348207956</v>
      </c>
      <c r="K25" s="478">
        <f t="shared" si="11"/>
        <v>0</v>
      </c>
      <c r="L25" s="478">
        <f t="shared" si="12"/>
        <v>0</v>
      </c>
      <c r="M25" s="478">
        <f t="shared" si="13"/>
        <v>0</v>
      </c>
      <c r="N25" s="478">
        <f t="shared" si="14"/>
        <v>0</v>
      </c>
      <c r="O25" s="478">
        <f t="shared" si="15"/>
        <v>0</v>
      </c>
      <c r="P25" s="479">
        <f t="shared" si="16"/>
        <v>0</v>
      </c>
      <c r="Q25" s="477">
        <f t="shared" ca="1" si="17"/>
        <v>33712.474708704132</v>
      </c>
    </row>
    <row r="26" spans="1:17" s="483" customFormat="1">
      <c r="A26" s="481" t="s">
        <v>564</v>
      </c>
      <c r="B26" s="835">
        <f t="shared" ca="1" si="2"/>
        <v>9.9492236471842865</v>
      </c>
      <c r="C26" s="482">
        <f t="shared" ca="1" si="3"/>
        <v>0</v>
      </c>
      <c r="D26" s="482">
        <f t="shared" si="4"/>
        <v>25.046588852519452</v>
      </c>
      <c r="E26" s="482">
        <f t="shared" si="5"/>
        <v>107.89251861247972</v>
      </c>
      <c r="F26" s="482">
        <f t="shared" si="6"/>
        <v>0</v>
      </c>
      <c r="G26" s="482">
        <f t="shared" si="7"/>
        <v>45523.814604535903</v>
      </c>
      <c r="H26" s="482">
        <f t="shared" si="8"/>
        <v>8275.8471120971481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53942.55004774523</v>
      </c>
    </row>
    <row r="27" spans="1:17">
      <c r="A27" s="477" t="s">
        <v>554</v>
      </c>
      <c r="B27" s="478">
        <f t="shared" ca="1" si="2"/>
        <v>0</v>
      </c>
      <c r="C27" s="478">
        <f t="shared" ca="1" si="3"/>
        <v>0</v>
      </c>
      <c r="D27" s="478">
        <f t="shared" si="4"/>
        <v>0</v>
      </c>
      <c r="E27" s="478">
        <f t="shared" si="5"/>
        <v>0</v>
      </c>
      <c r="F27" s="478">
        <f t="shared" si="6"/>
        <v>0</v>
      </c>
      <c r="G27" s="478">
        <f t="shared" si="7"/>
        <v>1030.7086117673889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1030.7086117673889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42278.716914363584</v>
      </c>
      <c r="C31" s="488">
        <f t="shared" ca="1" si="18"/>
        <v>840.25210084033608</v>
      </c>
      <c r="D31" s="488">
        <f t="shared" ca="1" si="18"/>
        <v>74843.078632482939</v>
      </c>
      <c r="E31" s="488">
        <f t="shared" si="18"/>
        <v>3909.0207299440572</v>
      </c>
      <c r="F31" s="488">
        <f t="shared" ca="1" si="18"/>
        <v>15864.530659036764</v>
      </c>
      <c r="G31" s="488">
        <f t="shared" si="18"/>
        <v>46554.523216303292</v>
      </c>
      <c r="H31" s="488">
        <f t="shared" si="18"/>
        <v>8275.8471120971481</v>
      </c>
      <c r="I31" s="488">
        <f t="shared" si="18"/>
        <v>0</v>
      </c>
      <c r="J31" s="488">
        <f t="shared" si="18"/>
        <v>1747.0137780504581</v>
      </c>
      <c r="K31" s="488">
        <f t="shared" si="18"/>
        <v>0</v>
      </c>
      <c r="L31" s="488">
        <f t="shared" ca="1" si="18"/>
        <v>0</v>
      </c>
      <c r="M31" s="488">
        <f t="shared" si="18"/>
        <v>0</v>
      </c>
      <c r="N31" s="488">
        <f t="shared" ca="1" si="18"/>
        <v>0</v>
      </c>
      <c r="O31" s="488">
        <f t="shared" si="18"/>
        <v>0</v>
      </c>
      <c r="P31" s="489">
        <f t="shared" si="18"/>
        <v>0</v>
      </c>
      <c r="Q31" s="489">
        <f t="shared" ca="1" si="18"/>
        <v>194312.98314311856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0.18761924510206227</v>
      </c>
      <c r="C17" s="528">
        <f ca="1">'EF ele_warmte'!B22</f>
        <v>0.23257274440025119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0.18761924510206227</v>
      </c>
      <c r="C17" s="528">
        <f ca="1">'EF ele_warmte'!B22</f>
        <v>0.23257274440025119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0.18761924510206227</v>
      </c>
      <c r="C29" s="529">
        <f ca="1">'EF ele_warmte'!B22</f>
        <v>0.23257274440025119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2018-06-27T09:43:33Z</dcterms:modified>
</cp:coreProperties>
</file>