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R60"/>
  <c r="Q60"/>
  <c r="P60"/>
  <c r="D6" i="17" s="1"/>
  <c r="O60" i="18"/>
  <c r="C6" i="17" s="1"/>
  <c r="N60" i="18"/>
  <c r="M60"/>
  <c r="W59"/>
  <c r="V59"/>
  <c r="U59"/>
  <c r="T59"/>
  <c r="S59"/>
  <c r="R59"/>
  <c r="Q59"/>
  <c r="P59"/>
  <c r="O59"/>
  <c r="N59"/>
  <c r="M59"/>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16" i="16" l="1"/>
  <c r="L18" s="1"/>
  <c r="F16"/>
  <c r="C13" i="15"/>
  <c r="C16" s="1"/>
  <c r="D10" i="14" s="1"/>
  <c r="L6" i="17"/>
  <c r="L5" s="1"/>
  <c r="N16" i="16"/>
  <c r="B13" i="15"/>
  <c r="F6" i="17"/>
  <c r="B8" i="9"/>
  <c r="I8" i="18"/>
  <c r="J68" i="14" s="1"/>
  <c r="I14" i="15"/>
  <c r="I16" s="1"/>
  <c r="J10" i="14" s="1"/>
  <c r="J15" s="1"/>
  <c r="B13" i="16"/>
  <c r="C35"/>
  <c r="E9" i="14"/>
  <c r="D14" i="15"/>
  <c r="P22" i="16"/>
  <c r="Q39" i="14" s="1"/>
  <c r="P18" i="16"/>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12" i="17"/>
  <c r="K48" i="14" s="1"/>
  <c r="J7" i="48"/>
  <c r="J24" s="1"/>
  <c r="I5"/>
  <c r="I22" s="1"/>
  <c r="E8" i="17"/>
  <c r="F22" i="14" s="1"/>
  <c r="O22" i="16"/>
  <c r="P39" i="14" s="1"/>
  <c r="O18" i="16"/>
  <c r="B34" i="13"/>
  <c r="H13" i="48"/>
  <c r="H30" s="1"/>
  <c r="H12" i="22"/>
  <c r="B35" i="13"/>
  <c r="B36"/>
  <c r="B48" s="1"/>
  <c r="C48" s="1"/>
  <c r="N5" s="1"/>
  <c r="N8" s="1"/>
  <c r="N4" i="48" s="1"/>
  <c r="N21" s="1"/>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H14" i="22" l="1"/>
  <c r="I14" i="48"/>
  <c r="E7"/>
  <c r="E24" s="1"/>
  <c r="E12" i="17"/>
  <c r="F48" i="14" s="1"/>
  <c r="P41"/>
  <c r="P53" s="1"/>
  <c r="D8" i="48"/>
  <c r="D25" s="1"/>
  <c r="E20" i="15"/>
  <c r="F36" i="14" s="1"/>
  <c r="E16" i="15"/>
  <c r="F10" i="14" s="1"/>
  <c r="J16" i="15"/>
  <c r="K10" i="14" s="1"/>
  <c r="O22"/>
  <c r="L7" i="48"/>
  <c r="L24" s="1"/>
  <c r="M22" i="14"/>
  <c r="P15"/>
  <c r="P23" s="1"/>
  <c r="P55" s="1"/>
  <c r="M58" i="22"/>
  <c r="N44" i="14" s="1"/>
  <c r="N18"/>
  <c r="R18" s="1"/>
  <c r="O14" i="48"/>
  <c r="D18" i="22"/>
  <c r="E45" i="14" s="1"/>
  <c r="E46" s="1"/>
  <c r="C19"/>
  <c r="C20" s="1"/>
  <c r="J7" i="18"/>
  <c r="K67" i="14" s="1"/>
  <c r="K69" s="1"/>
  <c r="E9" i="18"/>
  <c r="J16"/>
  <c r="M16" s="1"/>
  <c r="M19" s="1"/>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N20" s="1"/>
  <c r="N23" s="1"/>
  <c r="E5" i="48"/>
  <c r="E22" s="1"/>
  <c r="P14"/>
  <c r="B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9" i="18" l="1"/>
  <c r="M7"/>
  <c r="M9"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N22" i="16"/>
  <c r="O39" i="14" s="1"/>
  <c r="O41" s="1"/>
  <c r="F8" i="48"/>
  <c r="Q4"/>
  <c r="N22"/>
  <c r="R11" i="14"/>
  <c r="J21" i="48"/>
  <c r="R10" i="14"/>
  <c r="J8" i="48" l="1"/>
  <c r="J25" s="1"/>
  <c r="J31" s="1"/>
  <c r="O13" i="14"/>
  <c r="O15" s="1"/>
  <c r="F13"/>
  <c r="F15" s="1"/>
  <c r="F23" s="1"/>
  <c r="N25" i="48"/>
  <c r="N31" s="1"/>
  <c r="N14"/>
  <c r="E25"/>
  <c r="E31" s="1"/>
  <c r="E14"/>
  <c r="K13" i="14"/>
  <c r="K15" s="1"/>
  <c r="K23" s="1"/>
  <c r="H55"/>
  <c r="E55"/>
  <c r="C78"/>
  <c r="C81" s="1"/>
  <c r="R19"/>
  <c r="R20" s="1"/>
  <c r="H14" i="48"/>
  <c r="G31"/>
  <c r="H26"/>
  <c r="H31" s="1"/>
  <c r="F55" i="14"/>
  <c r="O53"/>
  <c r="G53"/>
  <c r="G55" s="1"/>
  <c r="O69" s="1"/>
  <c r="B9" i="6" s="1"/>
  <c r="B12" s="1"/>
  <c r="M53" i="14"/>
  <c r="M55" s="1"/>
  <c r="C12" i="13"/>
  <c r="D37" i="14" s="1"/>
  <c r="D41" s="1"/>
  <c r="C23" i="48"/>
  <c r="C24"/>
  <c r="C27"/>
  <c r="C28"/>
  <c r="C22"/>
  <c r="C25"/>
  <c r="C29"/>
  <c r="C21"/>
  <c r="C26"/>
  <c r="K55" i="14"/>
  <c r="R13"/>
  <c r="R15" s="1"/>
  <c r="F25" i="48"/>
  <c r="F31" s="1"/>
  <c r="F14"/>
  <c r="J14" l="1"/>
  <c r="Q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<sst xmlns="http://schemas.openxmlformats.org/spreadsheetml/2006/main" count="1924" uniqueCount="818">
  <si>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</si>
  <si>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</si>
  <si>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</si>
  <si>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</si>
  <si>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</si>
  <si>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</si>
  <si>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</si>
  <si>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</si>
  <si>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</si>
  <si>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</si>
  <si>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</si>
  <si>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</si>
  <si>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</si>
  <si>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</si>
  <si>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</si>
  <si>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</si>
  <si>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</si>
  <si>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</si>
  <si>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</si>
  <si>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</si>
  <si>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</si>
  <si>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</si>
  <si>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</si>
  <si>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</si>
  <si>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</si>
  <si>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</si>
  <si>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</si>
  <si>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</si>
  <si>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</si>
  <si>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</si>
  <si>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</si>
  <si>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</si>
  <si>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</si>
  <si>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</si>
  <si>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</si>
  <si>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</si>
  <si>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</si>
  <si>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</si>
  <si>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</si>
  <si>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</si>
  <si>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</si>
  <si>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</si>
  <si>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</si>
  <si>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</si>
  <si>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</si>
  <si>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</si>
  <si>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</si>
  <si>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</si>
  <si>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</si>
  <si>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</si>
  <si>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</si>
  <si>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</si>
  <si>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</si>
  <si>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</si>
  <si>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</si>
  <si>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</si>
  <si>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</si>
  <si>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</si>
  <si>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</si>
  <si>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</si>
  <si>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</si>
  <si>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</si>
  <si>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</si>
  <si>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</si>
  <si>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</si>
  <si>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</si>
  <si>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</si>
  <si>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</si>
  <si>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</si>
  <si>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</si>
  <si>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</si>
  <si>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</si>
  <si>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</si>
  <si>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</si>
  <si>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</si>
  <si>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</si>
  <si>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</si>
  <si>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</si>
  <si>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</si>
  <si>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</si>
  <si>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</si>
  <si>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</si>
  <si>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</si>
  <si>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</si>
  <si>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</si>
  <si>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</si>
  <si>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</si>
  <si>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</si>
  <si>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</si>
  <si>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</si>
  <si>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</si>
  <si>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</si>
  <si>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</si>
  <si>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</si>
  <si>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</si>
  <si>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</si>
  <si>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</si>
  <si>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</si>
  <si>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</si>
  <si>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</si>
  <si>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</si>
  <si>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</si>
  <si>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</si>
  <si>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</si>
  <si>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</si>
  <si>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</si>
  <si>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</si>
  <si>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</si>
  <si>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</si>
  <si>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</si>
  <si>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</si>
  <si>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</si>
  <si>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</si>
  <si>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</si>
  <si>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</si>
  <si>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</si>
  <si>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</si>
  <si>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</si>
  <si>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</si>
  <si>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</si>
  <si>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</si>
  <si>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</si>
  <si>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</si>
  <si>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</si>
  <si>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</si>
  <si>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</si>
  <si>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</si>
  <si>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</si>
  <si>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</si>
  <si>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</si>
  <si>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</si>
  <si>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</si>
  <si>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</si>
  <si>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</si>
  <si>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</si>
  <si>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</si>
  <si>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</si>
  <si>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</si>
  <si>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</si>
  <si>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</si>
  <si>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</si>
  <si>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</si>
  <si>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</si>
  <si>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</si>
  <si>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</si>
  <si>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</si>
  <si>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</si>
  <si>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</si>
  <si>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</si>
  <si>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</si>
  <si>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</si>
  <si>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</si>
  <si>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</si>
  <si>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</si>
  <si>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</si>
  <si>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</si>
  <si>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</si>
  <si>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</si>
  <si>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</si>
  <si>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</si>
  <si>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</si>
  <si>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</si>
  <si>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</si>
  <si>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</si>
  <si>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</si>
  <si>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</si>
  <si>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</si>
  <si>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</si>
  <si>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</si>
  <si>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</si>
  <si>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</si>
  <si>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</si>
  <si>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</si>
  <si>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</si>
  <si>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</si>
  <si>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</si>
  <si>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</si>
  <si>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</si>
  <si>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</si>
  <si>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</si>
  <si>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</si>
  <si>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</si>
  <si>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</si>
  <si>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</si>
  <si>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</si>
  <si>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</si>
  <si>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</si>
  <si>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</si>
  <si>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</si>
  <si>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</si>
  <si>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</si>
  <si>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</si>
  <si>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</si>
  <si>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</si>
  <si>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</si>
  <si>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</si>
  <si>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</si>
  <si>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</si>
  <si>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</si>
  <si>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</si>
  <si>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</si>
  <si>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</si>
  <si>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</si>
  <si>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</si>
  <si>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</si>
  <si>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</si>
  <si>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</si>
  <si>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</si>
  <si>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</si>
  <si>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</si>
  <si>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</si>
  <si>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</si>
  <si>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</si>
  <si>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</si>
  <si>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</si>
  <si>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</si>
  <si>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</si>
  <si>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</si>
  <si>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</si>
  <si>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</si>
  <si>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</si>
  <si>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</si>
  <si>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</si>
  <si>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</si>
  <si>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</si>
  <si>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</si>
  <si>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</si>
  <si>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</si>
  <si>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</si>
  <si>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</si>
  <si>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</si>
  <si>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</si>
  <si>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</si>
  <si>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</si>
  <si>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</si>
  <si>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</si>
  <si>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</si>
  <si>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</si>
  <si>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</si>
  <si>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</si>
  <si>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</si>
  <si>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</si>
  <si>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</si>
  <si>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</si>
  <si>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</si>
  <si>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</si>
  <si>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</si>
  <si>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</si>
  <si>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</si>
  <si>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</si>
  <si>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</si>
  <si>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</si>
  <si>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</si>
  <si>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</si>
  <si>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</si>
  <si>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</si>
  <si>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</si>
  <si>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</si>
  <si>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</si>
  <si>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</si>
  <si>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</si>
  <si>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</si>
  <si>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</si>
  <si>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</si>
  <si>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</si>
  <si>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</si>
  <si>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</si>
  <si>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</si>
  <si>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</si>
  <si>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</si>
  <si>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</si>
  <si>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</si>
  <si>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</si>
  <si>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</si>
  <si>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</si>
  <si>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</si>
  <si>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</si>
  <si>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</si>
  <si>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</si>
  <si>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</si>
  <si>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</si>
  <si>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</si>
  <si>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</si>
  <si>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</si>
  <si>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</si>
  <si>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</si>
  <si>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</si>
  <si>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</si>
  <si>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</si>
  <si>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</si>
  <si>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</si>
  <si>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</si>
  <si>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</si>
  <si>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</si>
  <si>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</si>
  <si>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</si>
  <si>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</si>
  <si>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</si>
  <si>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</si>
  <si>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</si>
  <si>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</si>
  <si>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</si>
  <si>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</si>
  <si>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</si>
  <si>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</si>
  <si>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</si>
  <si>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</si>
  <si>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</si>
  <si>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</si>
  <si>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</si>
  <si>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</si>
  <si>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</si>
  <si>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</si>
  <si>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</si>
  <si>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</si>
  <si>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</si>
  <si>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</si>
  <si>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</si>
  <si>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</si>
  <si>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</si>
  <si>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</si>
  <si>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</si>
  <si>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</si>
  <si>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</si>
  <si>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</si>
  <si>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</si>
  <si>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</si>
  <si>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</si>
  <si>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</si>
  <si>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</si>
  <si>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</si>
  <si>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</si>
  <si>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</si>
  <si>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</si>
  <si>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</si>
  <si>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</si>
  <si>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</si>
  <si>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</si>
  <si>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</si>
  <si>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</si>
  <si>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</si>
  <si>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</si>
  <si>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</si>
  <si>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</si>
  <si>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</si>
  <si>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</si>
  <si>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</si>
  <si>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</si>
  <si>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</si>
  <si>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</si>
  <si>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</si>
  <si>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</si>
  <si>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</si>
  <si>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</si>
  <si>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</si>
  <si>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</si>
  <si>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</si>
  <si>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</si>
  <si>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</si>
  <si>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</si>
  <si>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</si>
  <si>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</si>
  <si>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</si>
  <si>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</si>
  <si>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</si>
  <si>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</si>
  <si>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</si>
  <si>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</si>
  <si>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</si>
  <si>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</si>
  <si>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</si>
  <si>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</si>
  <si>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</si>
  <si>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</si>
  <si>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</si>
  <si>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</si>
  <si>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</si>
  <si>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</si>
  <si>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</si>
  <si>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</si>
  <si>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</si>
  <si>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</si>
  <si>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</si>
  <si>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</si>
  <si>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</si>
  <si>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</si>
  <si>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</si>
  <si>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</si>
  <si>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</si>
  <si>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</si>
  <si>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</si>
  <si>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</si>
  <si>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</si>
  <si>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</si>
  <si>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</si>
  <si>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</si>
  <si>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</si>
  <si>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</si>
  <si>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</si>
  <si>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</si>
  <si>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</si>
  <si>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</si>
  <si>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</si>
  <si>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</si>
  <si>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</si>
  <si>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</si>
  <si>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</si>
  <si>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</si>
  <si>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</si>
  <si>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</si>
  <si>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</si>
  <si>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</si>
  <si>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</si>
  <si>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</si>
  <si>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</si>
  <si>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</si>
  <si>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</si>
  <si>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</si>
  <si>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</si>
  <si>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</si>
  <si>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</si>
  <si>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</si>
  <si>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</si>
  <si>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</si>
  <si>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</si>
  <si>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</si>
  <si>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</si>
  <si>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</si>
  <si>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</si>
  <si>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</si>
  <si>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</si>
  <si>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</si>
  <si>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</si>
  <si>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</si>
  <si>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</si>
  <si>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</si>
  <si>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</si>
  <si>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</si>
  <si>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</si>
  <si>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</si>
  <si>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</si>
  <si>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</si>
  <si>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</si>
  <si>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</si>
  <si>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</si>
  <si>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</si>
  <si>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</si>
  <si>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</si>
  <si>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</si>
  <si>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</si>
  <si>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</si>
  <si>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</si>
  <si>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</si>
  <si>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</si>
  <si>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</si>
  <si>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</si>
  <si>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</si>
  <si>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</si>
  <si>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</si>
  <si>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</si>
  <si>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</si>
  <si>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</si>
  <si>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</si>
  <si>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</si>
  <si>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</si>
  <si>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</si>
  <si>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</si>
  <si>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</si>
  <si>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</si>
  <si>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</si>
  <si>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</si>
  <si>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</si>
  <si>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</si>
  <si>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</si>
  <si>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</si>
  <si>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</si>
  <si>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</si>
  <si>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</si>
  <si>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</si>
  <si>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</si>
  <si>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</si>
  <si>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</si>
  <si>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</si>
  <si>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</si>
  <si>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</si>
  <si>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</si>
  <si>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</si>
  <si>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</si>
  <si>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</si>
  <si>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</si>
  <si>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</si>
  <si>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</si>
  <si>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</si>
  <si>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</si>
  <si>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</si>
  <si>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</si>
  <si>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</si>
  <si>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</si>
  <si>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</si>
  <si>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</si>
  <si>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</si>
  <si>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</si>
  <si>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</si>
  <si>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</si>
  <si>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</si>
  <si>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</si>
  <si>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</si>
  <si>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</si>
  <si>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</si>
  <si>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</si>
  <si>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</si>
  <si>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</si>
  <si>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</si>
  <si>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</si>
  <si>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</si>
  <si>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</si>
  <si>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</si>
  <si>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</si>
  <si>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</si>
  <si>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</si>
  <si>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</si>
  <si>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</si>
  <si>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</si>
  <si>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</si>
  <si>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</si>
  <si>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</si>
  <si>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</si>
  <si>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</si>
  <si>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</si>
  <si>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</si>
  <si>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</si>
  <si>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</si>
  <si>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</si>
  <si>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</si>
  <si>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</si>
  <si>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</si>
  <si>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</si>
  <si>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</si>
  <si>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</si>
  <si>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</si>
  <si>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</si>
  <si>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</si>
  <si>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</si>
  <si>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</si>
  <si>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</si>
  <si>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</si>
  <si>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</si>
  <si>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</si>
  <si>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</si>
  <si>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</si>
  <si>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</si>
  <si>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</si>
  <si>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</si>
  <si>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</si>
  <si>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</si>
  <si>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</si>
  <si>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</si>
  <si>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</si>
  <si>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</si>
  <si>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</si>
  <si>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</si>
  <si>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</si>
  <si>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</si>
  <si>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</si>
  <si>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</si>
  <si>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</si>
  <si>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</si>
  <si>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</si>
  <si>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</si>
  <si>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</si>
  <si>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</si>
  <si>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</si>
  <si>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</si>
  <si>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</si>
  <si>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</si>
  <si>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</si>
  <si>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</si>
  <si>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</si>
  <si>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</si>
  <si>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</si>
  <si>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</si>
  <si>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</si>
  <si>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</si>
  <si>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</si>
  <si>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</si>
  <si>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</si>
  <si>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</si>
  <si>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</si>
  <si>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</si>
  <si>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</si>
  <si>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</si>
  <si>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</si>
  <si>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</si>
  <si>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</si>
  <si>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</si>
  <si>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</si>
  <si>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</si>
  <si>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</si>
  <si>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</si>
  <si>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</si>
  <si>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</si>
  <si>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</si>
  <si>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</si>
  <si>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</si>
  <si>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</si>
  <si>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</si>
  <si>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</si>
  <si>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</si>
  <si>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</si>
  <si>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</si>
  <si>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</si>
  <si>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</si>
  <si>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</si>
  <si>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</si>
  <si>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</si>
  <si>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</si>
  <si>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</si>
  <si>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</si>
  <si>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</si>
  <si>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</si>
  <si>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</si>
  <si>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</si>
  <si>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</si>
  <si>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</si>
  <si>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</si>
  <si>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</si>
  <si>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</si>
  <si>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</si>
  <si>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</si>
  <si>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</si>
  <si>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</si>
  <si>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</si>
  <si>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</si>
  <si>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</si>
  <si>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</si>
  <si>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</si>
  <si>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</si>
  <si>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</si>
  <si>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</si>
  <si>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</si>
  <si>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</si>
  <si>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</si>
  <si>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</si>
  <si>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</si>
  <si>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</si>
  <si>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</si>
  <si>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</si>
  <si>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</si>
  <si>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</si>
  <si>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</si>
  <si>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</si>
  <si>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</si>
  <si>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</si>
  <si>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</si>
  <si>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</si>
  <si>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</si>
  <si>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</si>
  <si>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</si>
  <si>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</si>
  <si>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</si>
  <si>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</si>
  <si>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</si>
  <si>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</si>
  <si>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</si>
  <si>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</si>
  <si>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</si>
  <si>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</si>
  <si>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</si>
  <si>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</si>
  <si>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</si>
  <si>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</si>
  <si>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</si>
  <si>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</si>
  <si>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</si>
  <si>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</si>
  <si>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</si>
  <si>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</si>
  <si>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</si>
  <si>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</si>
  <si>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</si>
  <si>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</si>
  <si>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</si>
  <si>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</si>
  <si>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</si>
  <si>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</si>
  <si>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</si>
  <si>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</si>
  <si>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</si>
  <si>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</si>
  <si>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</si>
  <si>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</si>
  <si>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</si>
  <si>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</si>
  <si>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</si>
  <si>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</si>
  <si>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</si>
  <si>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</si>
  <si>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</si>
  <si>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</si>
  <si>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</si>
  <si>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</si>
  <si>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</si>
  <si>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</si>
  <si>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</si>
  <si>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</si>
  <si>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</si>
  <si>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</si>
  <si>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</si>
  <si>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</si>
  <si>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</si>
  <si>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</si>
  <si>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</si>
  <si>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</si>
  <si>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</si>
  <si>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</si>
  <si>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</si>
  <si>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</si>
  <si>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</si>
  <si>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</si>
  <si>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</si>
  <si>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</si>
  <si>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</si>
  <si>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</si>
  <si>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</si>
  <si>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</si>
  <si>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</si>
  <si>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</si>
  <si>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</si>
  <si>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</si>
  <si>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</si>
  <si>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</si>
  <si>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</si>
  <si>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</si>
  <si>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</si>
  <si>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</si>
  <si>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</si>
  <si>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</si>
  <si>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</si>
  <si>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</si>
  <si>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</si>
  <si>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</si>
  <si>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</si>
  <si>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</si>
  <si>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</si>
  <si>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</si>
  <si>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</si>
  <si>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</si>
  <si>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</si>
  <si>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</si>
  <si>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</si>
  <si>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</si>
  <si>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</si>
  <si>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</si>
  <si>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</si>
  <si>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</si>
  <si>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</si>
  <si>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</si>
  <si>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</si>
  <si>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</si>
  <si>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</si>
  <si>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</si>
  <si>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</si>
  <si>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</si>
  <si>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</si>
  <si>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</si>
  <si>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</si>
  <si>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</si>
  <si>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</si>
  <si>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</si>
  <si>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</si>
  <si>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</si>
  <si>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</si>
  <si>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</si>
  <si>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</si>
  <si>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</si>
  <si>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</si>
  <si>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</si>
  <si>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</si>
  <si>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</si>
  <si>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</si>
  <si>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</si>
  <si>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</si>
  <si>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</si>
  <si>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</si>
  <si>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</si>
  <si>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</si>
  <si>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</si>
  <si>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</si>
  <si>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</si>
  <si>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</si>
  <si>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</si>
  <si>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</si>
  <si>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</si>
  <si>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</si>
  <si>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</si>
  <si>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</si>
  <si>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</si>
  <si>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</si>
  <si>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</si>
  <si>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</si>
  <si>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</si>
  <si>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</si>
  <si>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</si>
  <si>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</si>
  <si>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</si>
  <si>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</si>
  <si>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</si>
  <si>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</si>
  <si>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</si>
  <si>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</si>
  <si>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38008</t>
  </si>
  <si>
    <t>DE PANNE</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</si>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</sst>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80623.524979885566</c:v>
                </c:pt>
                <c:pt idx="1">
                  <c:v>68923.428108993699</c:v>
                </c:pt>
                <c:pt idx="2">
                  <c:v>1564.6669999999999</c:v>
                </c:pt>
                <c:pt idx="3">
                  <c:v>9952.7460710119376</c:v>
                </c:pt>
                <c:pt idx="4">
                  <c:v>5109.8833395897691</c:v>
                </c:pt>
                <c:pt idx="5">
                  <c:v>85476.663172017667</c:v>
                </c:pt>
                <c:pt idx="6">
                  <c:v>959.05581277789088</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46528"/>
        <c:axId val="183048064"/>
      </c:barChart>
      <c:catAx>
        <c:axId val="183046528"/>
        <c:scaling>
          <c:orientation val="minMax"/>
        </c:scaling>
        <c:axPos val="b"/>
        <c:numFmt formatCode="General" sourceLinked="0"/>
        <c:tickLblPos val="nextTo"/>
        <c:crossAx val="183048064"/>
        <c:crosses val="autoZero"/>
        <c:auto val="1"/>
        <c:lblAlgn val="ctr"/>
        <c:lblOffset val="100"/>
      </c:catAx>
      <c:valAx>
        <c:axId val="183048064"/>
        <c:scaling>
          <c:orientation val="minMax"/>
        </c:scaling>
        <c:axPos val="l"/>
        <c:majorGridlines/>
        <c:numFmt formatCode="#,##0" sourceLinked="1"/>
        <c:tickLblPos val="nextTo"/>
        <c:crossAx val="1830465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80623.524979885566</c:v>
                </c:pt>
                <c:pt idx="1">
                  <c:v>68923.428108993699</c:v>
                </c:pt>
                <c:pt idx="2">
                  <c:v>1564.6669999999999</c:v>
                </c:pt>
                <c:pt idx="3">
                  <c:v>9952.7460710119376</c:v>
                </c:pt>
                <c:pt idx="4">
                  <c:v>5109.8833395897691</c:v>
                </c:pt>
                <c:pt idx="5">
                  <c:v>85476.663172017667</c:v>
                </c:pt>
                <c:pt idx="6">
                  <c:v>959.05581277789088</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16544.779953349193</c:v>
                </c:pt>
                <c:pt idx="1">
                  <c:v>14334.883956275477</c:v>
                </c:pt>
                <c:pt idx="2">
                  <c:v>336.35736236091481</c:v>
                </c:pt>
                <c:pt idx="3">
                  <c:v>2124.2919085669123</c:v>
                </c:pt>
                <c:pt idx="4">
                  <c:v>1025.544739642155</c:v>
                </c:pt>
                <c:pt idx="5">
                  <c:v>21969.837242181999</c:v>
                </c:pt>
                <c:pt idx="6">
                  <c:v>213.51804063198909</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401472"/>
        <c:axId val="183563008"/>
      </c:barChart>
      <c:catAx>
        <c:axId val="183401472"/>
        <c:scaling>
          <c:orientation val="minMax"/>
        </c:scaling>
        <c:axPos val="b"/>
        <c:numFmt formatCode="General" sourceLinked="0"/>
        <c:tickLblPos val="nextTo"/>
        <c:crossAx val="183563008"/>
        <c:crosses val="autoZero"/>
        <c:auto val="1"/>
        <c:lblAlgn val="ctr"/>
        <c:lblOffset val="100"/>
      </c:catAx>
      <c:valAx>
        <c:axId val="183563008"/>
        <c:scaling>
          <c:orientation val="minMax"/>
        </c:scaling>
        <c:axPos val="l"/>
        <c:majorGridlines/>
        <c:numFmt formatCode="#,##0" sourceLinked="1"/>
        <c:tickLblPos val="nextTo"/>
        <c:crossAx val="1834014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16544.779953349193</c:v>
                </c:pt>
                <c:pt idx="1">
                  <c:v>14334.883956275477</c:v>
                </c:pt>
                <c:pt idx="2">
                  <c:v>336.35736236091481</c:v>
                </c:pt>
                <c:pt idx="3">
                  <c:v>2124.2919085669123</c:v>
                </c:pt>
                <c:pt idx="4">
                  <c:v>1025.544739642155</c:v>
                </c:pt>
                <c:pt idx="5">
                  <c:v>21969.837242181999</c:v>
                </c:pt>
                <c:pt idx="6">
                  <c:v>213.51804063198909</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38008</v>
      </c>
      <c r="B6" s="415"/>
      <c r="C6" s="416"/>
    </row>
    <row r="7" spans="1:7" s="413" customFormat="1" ht="15.75" customHeight="1">
      <c r="A7" s="417" t="str">
        <f>txtMunicipality</f>
        <v>DE PANNE</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38008</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5480</v>
      </c>
      <c r="C9" s="342">
        <v>5606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1150.95</v>
      </c>
    </row>
    <row r="15" spans="1:6">
      <c r="A15" s="348" t="s">
        <v>184</v>
      </c>
      <c r="B15" s="334">
        <v>14</v>
      </c>
    </row>
    <row r="16" spans="1:6">
      <c r="A16" s="348" t="s">
        <v>6</v>
      </c>
      <c r="B16" s="334">
        <v>737</v>
      </c>
    </row>
    <row r="17" spans="1:6">
      <c r="A17" s="348" t="s">
        <v>7</v>
      </c>
      <c r="B17" s="334">
        <v>92</v>
      </c>
    </row>
    <row r="18" spans="1:6">
      <c r="A18" s="348" t="s">
        <v>8</v>
      </c>
      <c r="B18" s="334">
        <v>336</v>
      </c>
    </row>
    <row r="19" spans="1:6">
      <c r="A19" s="348" t="s">
        <v>9</v>
      </c>
      <c r="B19" s="334">
        <v>408</v>
      </c>
    </row>
    <row r="20" spans="1:6">
      <c r="A20" s="348" t="s">
        <v>10</v>
      </c>
      <c r="B20" s="334">
        <v>268</v>
      </c>
    </row>
    <row r="21" spans="1:6">
      <c r="A21" s="348" t="s">
        <v>11</v>
      </c>
      <c r="B21" s="334">
        <v>2020</v>
      </c>
    </row>
    <row r="22" spans="1:6">
      <c r="A22" s="348" t="s">
        <v>12</v>
      </c>
      <c r="B22" s="334">
        <v>468</v>
      </c>
    </row>
    <row r="23" spans="1:6">
      <c r="A23" s="348" t="s">
        <v>13</v>
      </c>
      <c r="B23" s="334">
        <v>35</v>
      </c>
    </row>
    <row r="24" spans="1:6">
      <c r="A24" s="348" t="s">
        <v>14</v>
      </c>
      <c r="B24" s="334">
        <v>4</v>
      </c>
    </row>
    <row r="25" spans="1:6">
      <c r="A25" s="348" t="s">
        <v>15</v>
      </c>
      <c r="B25" s="334">
        <v>702</v>
      </c>
    </row>
    <row r="26" spans="1:6">
      <c r="A26" s="348" t="s">
        <v>16</v>
      </c>
      <c r="B26" s="334">
        <v>28</v>
      </c>
    </row>
    <row r="27" spans="1:6">
      <c r="A27" s="348" t="s">
        <v>17</v>
      </c>
      <c r="B27" s="334">
        <v>0</v>
      </c>
    </row>
    <row r="28" spans="1:6" s="356" customFormat="1">
      <c r="A28" s="355" t="s">
        <v>18</v>
      </c>
      <c r="B28" s="355">
        <v>30266</v>
      </c>
    </row>
    <row r="29" spans="1:6">
      <c r="A29" s="355" t="s">
        <v>812</v>
      </c>
      <c r="B29" s="355">
        <v>185</v>
      </c>
      <c r="C29" s="356"/>
      <c r="D29" s="356"/>
      <c r="E29" s="356"/>
      <c r="F29" s="356"/>
    </row>
    <row r="30" spans="1:6">
      <c r="A30" s="355" t="s">
        <v>813</v>
      </c>
      <c r="B30" s="341">
        <v>129</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6</v>
      </c>
      <c r="F36" s="334">
        <v>19053.789784000001</v>
      </c>
    </row>
    <row r="37" spans="1:6">
      <c r="A37" s="348" t="s">
        <v>25</v>
      </c>
      <c r="B37" s="348" t="s">
        <v>28</v>
      </c>
      <c r="C37" s="334">
        <v>0</v>
      </c>
      <c r="D37" s="334">
        <v>0</v>
      </c>
      <c r="E37" s="334">
        <v>0</v>
      </c>
      <c r="F37" s="334">
        <v>0</v>
      </c>
    </row>
    <row r="38" spans="1:6">
      <c r="A38" s="348" t="s">
        <v>25</v>
      </c>
      <c r="B38" s="348" t="s">
        <v>29</v>
      </c>
      <c r="C38" s="334">
        <v>2</v>
      </c>
      <c r="D38" s="334">
        <v>520433.87685</v>
      </c>
      <c r="E38" s="334">
        <v>0</v>
      </c>
      <c r="F38" s="334">
        <v>0</v>
      </c>
    </row>
    <row r="39" spans="1:6">
      <c r="A39" s="348" t="s">
        <v>30</v>
      </c>
      <c r="B39" s="348" t="s">
        <v>31</v>
      </c>
      <c r="C39" s="334">
        <v>5955</v>
      </c>
      <c r="D39" s="334">
        <v>61719940.413000003</v>
      </c>
      <c r="E39" s="334">
        <v>10808</v>
      </c>
      <c r="F39" s="334">
        <v>23392877.050000001</v>
      </c>
    </row>
    <row r="40" spans="1:6">
      <c r="A40" s="348" t="s">
        <v>30</v>
      </c>
      <c r="B40" s="348" t="s">
        <v>29</v>
      </c>
      <c r="C40" s="334">
        <v>1</v>
      </c>
      <c r="D40" s="334">
        <v>8440.6755006999992</v>
      </c>
      <c r="E40" s="334">
        <v>1</v>
      </c>
      <c r="F40" s="334">
        <v>1159.0597350999999</v>
      </c>
    </row>
    <row r="41" spans="1:6">
      <c r="A41" s="348" t="s">
        <v>32</v>
      </c>
      <c r="B41" s="348" t="s">
        <v>33</v>
      </c>
      <c r="C41" s="334">
        <v>106</v>
      </c>
      <c r="D41" s="334">
        <v>1224815.79</v>
      </c>
      <c r="E41" s="334">
        <v>168</v>
      </c>
      <c r="F41" s="334">
        <v>726948.65046999999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60236.778275999997</v>
      </c>
      <c r="E44" s="334">
        <v>14</v>
      </c>
      <c r="F44" s="334">
        <v>108931.02784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9</v>
      </c>
      <c r="D48" s="334">
        <v>301273.52782999998</v>
      </c>
      <c r="E48" s="334">
        <v>19</v>
      </c>
      <c r="F48" s="334">
        <v>508272.38923999999</v>
      </c>
    </row>
    <row r="49" spans="1:6">
      <c r="A49" s="348" t="s">
        <v>32</v>
      </c>
      <c r="B49" s="348" t="s">
        <v>40</v>
      </c>
      <c r="C49" s="334">
        <v>0</v>
      </c>
      <c r="D49" s="334">
        <v>0</v>
      </c>
      <c r="E49" s="334">
        <v>0</v>
      </c>
      <c r="F49" s="334">
        <v>0</v>
      </c>
    </row>
    <row r="50" spans="1:6">
      <c r="A50" s="348" t="s">
        <v>32</v>
      </c>
      <c r="B50" s="348" t="s">
        <v>41</v>
      </c>
      <c r="C50" s="334">
        <v>10</v>
      </c>
      <c r="D50" s="334">
        <v>592656.01315999997</v>
      </c>
      <c r="E50" s="334">
        <v>13</v>
      </c>
      <c r="F50" s="334">
        <v>282662.93536</v>
      </c>
    </row>
    <row r="51" spans="1:6">
      <c r="A51" s="348" t="s">
        <v>42</v>
      </c>
      <c r="B51" s="348" t="s">
        <v>43</v>
      </c>
      <c r="C51" s="334">
        <v>0</v>
      </c>
      <c r="D51" s="334">
        <v>0</v>
      </c>
      <c r="E51" s="334">
        <v>22</v>
      </c>
      <c r="F51" s="334">
        <v>365004.22184000001</v>
      </c>
    </row>
    <row r="52" spans="1:6">
      <c r="A52" s="348" t="s">
        <v>42</v>
      </c>
      <c r="B52" s="348" t="s">
        <v>29</v>
      </c>
      <c r="C52" s="334">
        <v>5</v>
      </c>
      <c r="D52" s="334">
        <v>47732.112176000002</v>
      </c>
      <c r="E52" s="334">
        <v>7</v>
      </c>
      <c r="F52" s="334">
        <v>51852.054163000001</v>
      </c>
    </row>
    <row r="53" spans="1:6">
      <c r="A53" s="348" t="s">
        <v>44</v>
      </c>
      <c r="B53" s="348" t="s">
        <v>45</v>
      </c>
      <c r="C53" s="334">
        <v>866</v>
      </c>
      <c r="D53" s="334">
        <v>8756524.6816000007</v>
      </c>
      <c r="E53" s="334">
        <v>2448</v>
      </c>
      <c r="F53" s="334">
        <v>6024014.1655000001</v>
      </c>
    </row>
    <row r="54" spans="1:6">
      <c r="A54" s="348" t="s">
        <v>46</v>
      </c>
      <c r="B54" s="348" t="s">
        <v>47</v>
      </c>
      <c r="C54" s="334">
        <v>0</v>
      </c>
      <c r="D54" s="334">
        <v>0</v>
      </c>
      <c r="E54" s="334">
        <v>1</v>
      </c>
      <c r="F54" s="334">
        <v>1564667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49</v>
      </c>
      <c r="D57" s="334">
        <v>1447415.1543000001</v>
      </c>
      <c r="E57" s="334">
        <v>111</v>
      </c>
      <c r="F57" s="334">
        <v>2168528.0980000002</v>
      </c>
    </row>
    <row r="58" spans="1:6">
      <c r="A58" s="348" t="s">
        <v>49</v>
      </c>
      <c r="B58" s="348" t="s">
        <v>51</v>
      </c>
      <c r="C58" s="334">
        <v>15</v>
      </c>
      <c r="D58" s="334">
        <v>167129.75542</v>
      </c>
      <c r="E58" s="334">
        <v>37</v>
      </c>
      <c r="F58" s="334">
        <v>137479.73005000001</v>
      </c>
    </row>
    <row r="59" spans="1:6">
      <c r="A59" s="348" t="s">
        <v>49</v>
      </c>
      <c r="B59" s="348" t="s">
        <v>52</v>
      </c>
      <c r="C59" s="334">
        <v>172</v>
      </c>
      <c r="D59" s="334">
        <v>3460344.2692</v>
      </c>
      <c r="E59" s="334">
        <v>336</v>
      </c>
      <c r="F59" s="334">
        <v>6013124.9551999997</v>
      </c>
    </row>
    <row r="60" spans="1:6">
      <c r="A60" s="348" t="s">
        <v>49</v>
      </c>
      <c r="B60" s="348" t="s">
        <v>53</v>
      </c>
      <c r="C60" s="334">
        <v>170</v>
      </c>
      <c r="D60" s="334">
        <v>9731920.6741000004</v>
      </c>
      <c r="E60" s="334">
        <v>224</v>
      </c>
      <c r="F60" s="334">
        <v>6409855.5268999999</v>
      </c>
    </row>
    <row r="61" spans="1:6">
      <c r="A61" s="348" t="s">
        <v>49</v>
      </c>
      <c r="B61" s="348" t="s">
        <v>54</v>
      </c>
      <c r="C61" s="334">
        <v>223</v>
      </c>
      <c r="D61" s="334">
        <v>7615192.8690999998</v>
      </c>
      <c r="E61" s="334">
        <v>872</v>
      </c>
      <c r="F61" s="334">
        <v>6262555.409</v>
      </c>
    </row>
    <row r="62" spans="1:6">
      <c r="A62" s="348" t="s">
        <v>49</v>
      </c>
      <c r="B62" s="348" t="s">
        <v>55</v>
      </c>
      <c r="C62" s="334">
        <v>7</v>
      </c>
      <c r="D62" s="334">
        <v>1118635.8503</v>
      </c>
      <c r="E62" s="334">
        <v>7</v>
      </c>
      <c r="F62" s="334">
        <v>125469.40304</v>
      </c>
    </row>
    <row r="63" spans="1:6">
      <c r="A63" s="348" t="s">
        <v>49</v>
      </c>
      <c r="B63" s="348" t="s">
        <v>29</v>
      </c>
      <c r="C63" s="334">
        <v>80</v>
      </c>
      <c r="D63" s="334">
        <v>10419029.503</v>
      </c>
      <c r="E63" s="334">
        <v>80</v>
      </c>
      <c r="F63" s="334">
        <v>6495241.1770000001</v>
      </c>
    </row>
    <row r="64" spans="1:6">
      <c r="A64" s="348" t="s">
        <v>56</v>
      </c>
      <c r="B64" s="348" t="s">
        <v>57</v>
      </c>
      <c r="C64" s="334">
        <v>0</v>
      </c>
      <c r="D64" s="334">
        <v>0</v>
      </c>
      <c r="E64" s="334">
        <v>0</v>
      </c>
      <c r="F64" s="334">
        <v>0</v>
      </c>
    </row>
    <row r="65" spans="1:6">
      <c r="A65" s="348" t="s">
        <v>56</v>
      </c>
      <c r="B65" s="348" t="s">
        <v>29</v>
      </c>
      <c r="C65" s="334">
        <v>7</v>
      </c>
      <c r="D65" s="334">
        <v>300711.35131</v>
      </c>
      <c r="E65" s="334">
        <v>3</v>
      </c>
      <c r="F65" s="334">
        <v>12150.053475999999</v>
      </c>
    </row>
    <row r="66" spans="1:6">
      <c r="A66" s="348" t="s">
        <v>56</v>
      </c>
      <c r="B66" s="348" t="s">
        <v>58</v>
      </c>
      <c r="C66" s="334">
        <v>0</v>
      </c>
      <c r="D66" s="334">
        <v>0</v>
      </c>
      <c r="E66" s="334">
        <v>24</v>
      </c>
      <c r="F66" s="334">
        <v>143177.46747999999</v>
      </c>
    </row>
    <row r="67" spans="1:6">
      <c r="A67" s="355" t="s">
        <v>56</v>
      </c>
      <c r="B67" s="355" t="s">
        <v>59</v>
      </c>
      <c r="C67" s="334">
        <v>0</v>
      </c>
      <c r="D67" s="334">
        <v>0</v>
      </c>
      <c r="E67" s="334">
        <v>0</v>
      </c>
      <c r="F67" s="334">
        <v>0</v>
      </c>
    </row>
    <row r="68" spans="1:6">
      <c r="A68" s="341" t="s">
        <v>56</v>
      </c>
      <c r="B68" s="341" t="s">
        <v>60</v>
      </c>
      <c r="C68" s="334">
        <v>0</v>
      </c>
      <c r="D68" s="334">
        <v>0</v>
      </c>
      <c r="E68" s="334">
        <v>17</v>
      </c>
      <c r="F68" s="334">
        <v>1554566.6668</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27744439</v>
      </c>
      <c r="E73" s="476">
        <v>28604903.813366547</v>
      </c>
    </row>
    <row r="74" spans="1:6">
      <c r="A74" s="348" t="s">
        <v>64</v>
      </c>
      <c r="B74" s="348" t="s">
        <v>667</v>
      </c>
      <c r="C74" s="1212" t="s">
        <v>669</v>
      </c>
      <c r="D74" s="476">
        <v>2578893.5723005831</v>
      </c>
      <c r="E74" s="476">
        <v>2650486.6197012323</v>
      </c>
    </row>
    <row r="75" spans="1:6">
      <c r="A75" s="348" t="s">
        <v>65</v>
      </c>
      <c r="B75" s="348" t="s">
        <v>666</v>
      </c>
      <c r="C75" s="1212" t="s">
        <v>670</v>
      </c>
      <c r="D75" s="476">
        <v>3106018</v>
      </c>
      <c r="E75" s="476">
        <v>3201941.2313086716</v>
      </c>
    </row>
    <row r="76" spans="1:6">
      <c r="A76" s="348" t="s">
        <v>65</v>
      </c>
      <c r="B76" s="348" t="s">
        <v>667</v>
      </c>
      <c r="C76" s="1212" t="s">
        <v>671</v>
      </c>
      <c r="D76" s="476">
        <v>231931.57230058312</v>
      </c>
      <c r="E76" s="476">
        <v>238849.8283373205</v>
      </c>
    </row>
    <row r="77" spans="1:6">
      <c r="A77" s="348" t="s">
        <v>66</v>
      </c>
      <c r="B77" s="348" t="s">
        <v>666</v>
      </c>
      <c r="C77" s="1212" t="s">
        <v>672</v>
      </c>
      <c r="D77" s="476">
        <v>31041103</v>
      </c>
      <c r="E77" s="476">
        <v>31086774.362650316</v>
      </c>
    </row>
    <row r="78" spans="1:6">
      <c r="A78" s="341" t="s">
        <v>66</v>
      </c>
      <c r="B78" s="341" t="s">
        <v>667</v>
      </c>
      <c r="C78" s="341" t="s">
        <v>673</v>
      </c>
      <c r="D78" s="1213">
        <v>14410822</v>
      </c>
      <c r="E78" s="1213">
        <v>15338532.77496391</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44864.855398833752</v>
      </c>
      <c r="C83" s="476">
        <v>44864.855398833752</v>
      </c>
    </row>
    <row r="84" spans="1:6">
      <c r="A84" s="341" t="s">
        <v>337</v>
      </c>
      <c r="B84" s="1213">
        <v>224685.1376802483</v>
      </c>
      <c r="C84" s="1213">
        <v>224685.1376802483</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1249.4391283228292</v>
      </c>
    </row>
    <row r="92" spans="1:6">
      <c r="A92" s="341" t="s">
        <v>69</v>
      </c>
      <c r="B92" s="342">
        <v>296.67459820879571</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3072</v>
      </c>
    </row>
    <row r="98" spans="1:6">
      <c r="A98" s="348" t="s">
        <v>72</v>
      </c>
      <c r="B98" s="334">
        <v>3</v>
      </c>
    </row>
    <row r="99" spans="1:6">
      <c r="A99" s="348" t="s">
        <v>73</v>
      </c>
      <c r="B99" s="334">
        <v>28</v>
      </c>
    </row>
    <row r="100" spans="1:6">
      <c r="A100" s="348" t="s">
        <v>74</v>
      </c>
      <c r="B100" s="334">
        <v>564</v>
      </c>
    </row>
    <row r="101" spans="1:6">
      <c r="A101" s="348" t="s">
        <v>75</v>
      </c>
      <c r="B101" s="334">
        <v>30</v>
      </c>
    </row>
    <row r="102" spans="1:6">
      <c r="A102" s="348" t="s">
        <v>76</v>
      </c>
      <c r="B102" s="334">
        <v>111</v>
      </c>
    </row>
    <row r="103" spans="1:6">
      <c r="A103" s="348" t="s">
        <v>77</v>
      </c>
      <c r="B103" s="334">
        <v>65</v>
      </c>
    </row>
    <row r="104" spans="1:6">
      <c r="A104" s="348" t="s">
        <v>78</v>
      </c>
      <c r="B104" s="334">
        <v>657</v>
      </c>
    </row>
    <row r="105" spans="1:6">
      <c r="A105" s="341" t="s">
        <v>79</v>
      </c>
      <c r="B105" s="341">
        <v>3</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v>
      </c>
      <c r="C123" s="334">
        <v>22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73</v>
      </c>
    </row>
    <row r="130" spans="1:6">
      <c r="A130" s="348" t="s">
        <v>295</v>
      </c>
      <c r="B130" s="334">
        <v>5</v>
      </c>
    </row>
    <row r="131" spans="1:6">
      <c r="A131" s="348" t="s">
        <v>296</v>
      </c>
      <c r="B131" s="334">
        <v>0</v>
      </c>
    </row>
    <row r="132" spans="1:6">
      <c r="A132" s="341" t="s">
        <v>297</v>
      </c>
      <c r="B132" s="342">
        <v>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56670.586300217932</v>
      </c>
      <c r="C3" s="43" t="s">
        <v>170</v>
      </c>
      <c r="D3" s="43"/>
      <c r="E3" s="154"/>
      <c r="F3" s="43"/>
      <c r="G3" s="43"/>
      <c r="H3" s="43"/>
      <c r="I3" s="43"/>
      <c r="J3" s="43"/>
      <c r="K3" s="96"/>
    </row>
    <row r="4" spans="1:11">
      <c r="A4" s="383" t="s">
        <v>171</v>
      </c>
      <c r="B4" s="49">
        <f>IF(ISERROR('SEAP template'!B69),0,'SEAP template'!B69)</f>
        <v>1546.1137265316249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0.21497057352197932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1564.6669999999999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1564.6669999999999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0.21497057352197932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336.35736236091481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23394.036109735101</v>
      </c>
      <c r="C5" s="17">
        <f>IF(ISERROR('Eigen informatie GS &amp; warmtenet'!B57),0,'Eigen informatie GS &amp; warmtenet'!B57)</f>
        <v>0</v>
      </c>
      <c r="D5" s="30">
        <f>(SUM(HH_hh_gas_kWh,HH_rest_gas_kWh)/1000)*0.902</f>
        <v>55678.99974182764</v>
      </c>
      <c r="E5" s="17">
        <f>B46*B57</f>
        <v>0</v>
      </c>
      <c r="F5" s="17">
        <f>B51*B62</f>
        <v>0</v>
      </c>
      <c r="G5" s="18"/>
      <c r="H5" s="17"/>
      <c r="I5" s="17"/>
      <c r="J5" s="17">
        <f>B50*B61+C50*C61</f>
        <v>0</v>
      </c>
      <c r="K5" s="17"/>
      <c r="L5" s="17"/>
      <c r="M5" s="17"/>
      <c r="N5" s="17">
        <f>B48*B59+C48*C59</f>
        <v>0</v>
      </c>
      <c r="O5" s="17">
        <f>B69*B70*B71</f>
        <v>148.51666666666668</v>
      </c>
      <c r="P5" s="17">
        <f>B77*B78*B79/1000-B77*B78*B79/1000/B80</f>
        <v>152.53333333333333</v>
      </c>
    </row>
    <row r="6" spans="1:16">
      <c r="A6" s="16" t="s">
        <v>624</v>
      </c>
      <c r="B6" s="843">
        <f>kWh_PV_kleiner_dan_10kW</f>
        <v>1249.4391283228292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24643.47523805793</v>
      </c>
      <c r="C8" s="21">
        <f>C5</f>
        <v>0</v>
      </c>
      <c r="D8" s="21">
        <f>D5</f>
        <v>55678.99974182764</v>
      </c>
      <c r="E8" s="21">
        <f>E5</f>
        <v>0</v>
      </c>
      <c r="F8" s="21">
        <f>F5</f>
        <v>0</v>
      </c>
      <c r="G8" s="21"/>
      <c r="H8" s="21"/>
      <c r="I8" s="21"/>
      <c r="J8" s="21">
        <f>J5</f>
        <v>0</v>
      </c>
      <c r="K8" s="21"/>
      <c r="L8" s="21">
        <f>L5</f>
        <v>0</v>
      </c>
      <c r="M8" s="21">
        <f>M5</f>
        <v>0</v>
      </c>
      <c r="N8" s="21">
        <f>N5</f>
        <v>0</v>
      </c>
      <c r="O8" s="21">
        <f>O5</f>
        <v>148.51666666666668</v>
      </c>
      <c r="P8" s="21">
        <f>P5</f>
        <v>152.53333333333333</v>
      </c>
    </row>
    <row r="9" spans="1:16">
      <c r="B9" s="19"/>
      <c r="C9" s="19"/>
      <c r="D9" s="258"/>
      <c r="E9" s="19"/>
      <c r="F9" s="19"/>
      <c r="G9" s="19"/>
      <c r="H9" s="19"/>
      <c r="I9" s="19"/>
      <c r="J9" s="19"/>
      <c r="K9" s="19"/>
      <c r="L9" s="19"/>
      <c r="M9" s="19"/>
      <c r="N9" s="19"/>
      <c r="O9" s="19"/>
      <c r="P9" s="19"/>
    </row>
    <row r="10" spans="1:16">
      <c r="A10" s="24" t="s">
        <v>214</v>
      </c>
      <c r="B10" s="25">
        <f ca="1">'EF ele_warmte'!B12</f>
        <v>0.21497057352197932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5297.6220055000094</v>
      </c>
      <c r="C12" s="23">
        <f ca="1">C10*C8</f>
        <v>0</v>
      </c>
      <c r="D12" s="23">
        <f>D8*D10</f>
        <v>11247.157947849184</v>
      </c>
      <c r="E12" s="23">
        <f>E10*E8</f>
        <v>0</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3072</v>
      </c>
      <c r="C18" s="166" t="s">
        <v>111</v>
      </c>
      <c r="D18" s="228"/>
      <c r="E18" s="15"/>
    </row>
    <row r="19" spans="1:7">
      <c r="A19" s="171" t="s">
        <v>72</v>
      </c>
      <c r="B19" s="37">
        <f>aantalw2001_ander</f>
        <v>3</v>
      </c>
      <c r="C19" s="166" t="s">
        <v>111</v>
      </c>
      <c r="D19" s="229"/>
      <c r="E19" s="15"/>
    </row>
    <row r="20" spans="1:7">
      <c r="A20" s="171" t="s">
        <v>73</v>
      </c>
      <c r="B20" s="37">
        <f>aantalw2001_propaan</f>
        <v>28</v>
      </c>
      <c r="C20" s="167">
        <f>IF(ISERROR(B20/SUM($B$20,$B$21,$B$22)*100),0,B20/SUM($B$20,$B$21,$B$22)*100)</f>
        <v>4.501607717041801</v>
      </c>
      <c r="D20" s="229"/>
      <c r="E20" s="15"/>
    </row>
    <row r="21" spans="1:7">
      <c r="A21" s="171" t="s">
        <v>74</v>
      </c>
      <c r="B21" s="37">
        <f>aantalw2001_elektriciteit</f>
        <v>564</v>
      </c>
      <c r="C21" s="167">
        <f>IF(ISERROR(B21/SUM($B$20,$B$21,$B$22)*100),0,B21/SUM($B$20,$B$21,$B$22)*100)</f>
        <v>90.675241157556272</v>
      </c>
      <c r="D21" s="229"/>
      <c r="E21" s="15"/>
    </row>
    <row r="22" spans="1:7">
      <c r="A22" s="171" t="s">
        <v>75</v>
      </c>
      <c r="B22" s="37">
        <f>aantalw2001_hout</f>
        <v>30</v>
      </c>
      <c r="C22" s="167">
        <f>IF(ISERROR(B22/SUM($B$20,$B$21,$B$22)*100),0,B22/SUM($B$20,$B$21,$B$22)*100)</f>
        <v>4.823151125401929</v>
      </c>
      <c r="D22" s="229"/>
      <c r="E22" s="15"/>
    </row>
    <row r="23" spans="1:7">
      <c r="A23" s="171" t="s">
        <v>76</v>
      </c>
      <c r="B23" s="37">
        <f>aantalw2001_niet_gespec</f>
        <v>111</v>
      </c>
      <c r="C23" s="166" t="s">
        <v>111</v>
      </c>
      <c r="D23" s="228"/>
      <c r="E23" s="15"/>
    </row>
    <row r="24" spans="1:7">
      <c r="A24" s="171" t="s">
        <v>77</v>
      </c>
      <c r="B24" s="37">
        <f>aantalw2001_steenkool</f>
        <v>65</v>
      </c>
      <c r="C24" s="166" t="s">
        <v>111</v>
      </c>
      <c r="D24" s="229"/>
      <c r="E24" s="15"/>
    </row>
    <row r="25" spans="1:7">
      <c r="A25" s="171" t="s">
        <v>78</v>
      </c>
      <c r="B25" s="37">
        <f>aantalw2001_stookolie</f>
        <v>657</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698</v>
      </c>
      <c r="B28" s="37">
        <f>aantalHuishoudens2011</f>
        <v>5480</v>
      </c>
      <c r="C28" s="36"/>
      <c r="D28" s="228"/>
    </row>
    <row r="29" spans="1:7" s="15" customFormat="1">
      <c r="A29" s="230" t="s">
        <v>699</v>
      </c>
      <c r="B29" s="37">
        <f>SUM(HH_hh_gas_aantal,HH_rest_gas_aantal)</f>
        <v>5956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5956</v>
      </c>
      <c r="C32" s="167">
        <f>IF(ISERROR(B32/SUM($B$32,$B$34,$B$35,$B$36,$B$38,$B$39)*100),0,B32/SUM($B$32,$B$34,$B$35,$B$36,$B$38,$B$39)*100)</f>
        <v>100</v>
      </c>
      <c r="D32" s="233"/>
      <c r="G32" s="15"/>
    </row>
    <row r="33" spans="1:7">
      <c r="A33" s="171" t="s">
        <v>72</v>
      </c>
      <c r="B33" s="34" t="s">
        <v>111</v>
      </c>
      <c r="C33" s="167"/>
      <c r="D33" s="233"/>
      <c r="G33" s="15"/>
    </row>
    <row r="34" spans="1:7">
      <c r="A34" s="171" t="s">
        <v>73</v>
      </c>
      <c r="B34" s="33">
        <f>IF((($B$28-$B$32-$B$39-$B$77-$B$38)*C20/100)&lt;0,0,($B$28-$B$32-$B$39-$B$77-$B$38)*C20/100)</f>
        <v>0</v>
      </c>
      <c r="C34" s="167">
        <f>IF(ISERROR(B34/SUM($B$32,$B$34,$B$35,$B$36,$B$38,$B$39)*100),0,B34/SUM($B$32,$B$34,$B$35,$B$36,$B$38,$B$39)*100)</f>
        <v>0</v>
      </c>
      <c r="D34" s="233"/>
      <c r="G34" s="15"/>
    </row>
    <row r="35" spans="1:7">
      <c r="A35" s="171" t="s">
        <v>74</v>
      </c>
      <c r="B35" s="33">
        <f>IF((($B$28-$B$32-$B$39-$B$77-$B$38)*C21/100)&lt;0,0,($B$28-$B$32-$B$39-$B$77-$B$38)*C21/100)</f>
        <v>0</v>
      </c>
      <c r="C35" s="167">
        <f>IF(ISERROR(B35/SUM($B$32,$B$34,$B$35,$B$36,$B$38,$B$39)*100),0,B35/SUM($B$32,$B$34,$B$35,$B$36,$B$38,$B$39)*100)</f>
        <v>0</v>
      </c>
      <c r="D35" s="233"/>
      <c r="G35" s="15"/>
    </row>
    <row r="36" spans="1:7">
      <c r="A36" s="171" t="s">
        <v>75</v>
      </c>
      <c r="B36" s="33">
        <f>IF((($B$28-$B$32-$B$39-$B$77-$B$38)*C22/100)&lt;0,0,($B$28-$B$32-$B$39-$B$77-$B$38)*C22/100)</f>
        <v>0</v>
      </c>
      <c r="C36" s="167">
        <f>IF(ISERROR(B36/SUM($B$32,$B$34,$B$35,$B$36,$B$38,$B$39)*100),0,B36/SUM($B$32,$B$34,$B$35,$B$36,$B$38,$B$39)*100)</f>
        <v>0</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5956</v>
      </c>
      <c r="C44" s="34" t="s">
        <v>111</v>
      </c>
      <c r="D44" s="174"/>
    </row>
    <row r="45" spans="1:7">
      <c r="A45" s="171" t="s">
        <v>72</v>
      </c>
      <c r="B45" s="33" t="str">
        <f t="shared" si="0"/>
        <v>-</v>
      </c>
      <c r="C45" s="34" t="s">
        <v>111</v>
      </c>
      <c r="D45" s="174"/>
    </row>
    <row r="46" spans="1:7">
      <c r="A46" s="171" t="s">
        <v>73</v>
      </c>
      <c r="B46" s="33">
        <f t="shared" si="0"/>
        <v>0</v>
      </c>
      <c r="C46" s="34" t="s">
        <v>111</v>
      </c>
      <c r="D46" s="174"/>
    </row>
    <row r="47" spans="1:7">
      <c r="A47" s="171" t="s">
        <v>74</v>
      </c>
      <c r="B47" s="33">
        <f t="shared" si="0"/>
        <v>0</v>
      </c>
      <c r="C47" s="34" t="s">
        <v>111</v>
      </c>
      <c r="D47" s="174"/>
    </row>
    <row r="48" spans="1:7">
      <c r="A48" s="171" t="s">
        <v>75</v>
      </c>
      <c r="B48" s="33">
        <f t="shared" si="0"/>
        <v>0</v>
      </c>
      <c r="C48" s="33">
        <f>B48*10</f>
        <v>0</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95</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27612.254299189997</v>
      </c>
      <c r="C5" s="17">
        <f>IF(ISERROR('Eigen informatie GS &amp; warmtenet'!B58),0,'Eigen informatie GS &amp; warmtenet'!B58)</f>
        <v>0</v>
      </c>
      <c r="D5" s="30">
        <f>SUM(D6:D12)</f>
        <v>30631.620604028842</v>
      </c>
      <c r="E5" s="17">
        <f>SUM(E6:E12)</f>
        <v>601.75326315389566</v>
      </c>
      <c r="F5" s="17">
        <f>SUM(F6:F12)</f>
        <v>7771.0728861202351</v>
      </c>
      <c r="G5" s="18"/>
      <c r="H5" s="17"/>
      <c r="I5" s="17"/>
      <c r="J5" s="17">
        <f>SUM(J6:J12)</f>
        <v>0</v>
      </c>
      <c r="K5" s="17"/>
      <c r="L5" s="17"/>
      <c r="M5" s="17"/>
      <c r="N5" s="17">
        <f>SUM(N6:N12)</f>
        <v>2298.9103898340691</v>
      </c>
      <c r="O5" s="17">
        <f>B38*B39*B40</f>
        <v>7.8166666666666664</v>
      </c>
      <c r="P5" s="17">
        <f>B46*B47*B48/1000-B46*B47*B48/1000/B49</f>
        <v>0</v>
      </c>
      <c r="R5" s="32"/>
    </row>
    <row r="6" spans="1:18">
      <c r="A6" s="32" t="s">
        <v>54</v>
      </c>
      <c r="B6" s="37">
        <f>B26</f>
        <v>6262.5554089999996</v>
      </c>
      <c r="C6" s="33"/>
      <c r="D6" s="37">
        <f>IF(ISERROR(TER_kantoor_gas_kWh/1000),0,TER_kantoor_gas_kWh/1000)*0.902</f>
        <v>6868.9039679281996</v>
      </c>
      <c r="E6" s="33">
        <f>$C$26*'E Balans VL '!I12/100/3.6*1000000</f>
        <v>81.984564653462144</v>
      </c>
      <c r="F6" s="33">
        <f>$C$26*('E Balans VL '!L12+'E Balans VL '!N12)/100/3.6*1000000</f>
        <v>1596.8869144648195</v>
      </c>
      <c r="G6" s="34"/>
      <c r="H6" s="33"/>
      <c r="I6" s="33"/>
      <c r="J6" s="33">
        <f>$C$26*('E Balans VL '!D12+'E Balans VL '!E12)/100/3.6*1000000</f>
        <v>0</v>
      </c>
      <c r="K6" s="33"/>
      <c r="L6" s="33"/>
      <c r="M6" s="33"/>
      <c r="N6" s="33">
        <f>$C$26*'E Balans VL '!Y12/100/3.6*1000000</f>
        <v>6.2836442288997469</v>
      </c>
      <c r="O6" s="33"/>
      <c r="P6" s="33"/>
      <c r="R6" s="32"/>
    </row>
    <row r="7" spans="1:18">
      <c r="A7" s="32" t="s">
        <v>53</v>
      </c>
      <c r="B7" s="37">
        <f t="shared" ref="B7:B12" si="0">B27</f>
        <v>6409.8555268999999</v>
      </c>
      <c r="C7" s="33"/>
      <c r="D7" s="37">
        <f>IF(ISERROR(TER_horeca_gas_kWh/1000),0,TER_horeca_gas_kWh/1000)*0.902</f>
        <v>8778.1924480382004</v>
      </c>
      <c r="E7" s="33">
        <f>$C$27*'E Balans VL '!I9/100/3.6*1000000</f>
        <v>212.12722809717084</v>
      </c>
      <c r="F7" s="33">
        <f>$C$27*('E Balans VL '!L9+'E Balans VL '!N9)/100/3.6*1000000</f>
        <v>2756.2133110250397</v>
      </c>
      <c r="G7" s="34"/>
      <c r="H7" s="33"/>
      <c r="I7" s="33"/>
      <c r="J7" s="33">
        <f>$C$27*('E Balans VL '!D9+'E Balans VL '!E9)/100/3.6*1000000</f>
        <v>0</v>
      </c>
      <c r="K7" s="33"/>
      <c r="L7" s="33"/>
      <c r="M7" s="33"/>
      <c r="N7" s="33">
        <f>$C$27*'E Balans VL '!Y9/100/3.6*1000000</f>
        <v>1.5429453066419061</v>
      </c>
      <c r="O7" s="33"/>
      <c r="P7" s="33"/>
      <c r="R7" s="32"/>
    </row>
    <row r="8" spans="1:18">
      <c r="A8" s="6" t="s">
        <v>52</v>
      </c>
      <c r="B8" s="37">
        <f t="shared" si="0"/>
        <v>6013.1249551999999</v>
      </c>
      <c r="C8" s="33"/>
      <c r="D8" s="37">
        <f>IF(ISERROR(TER_handel_gas_kWh/1000),0,TER_handel_gas_kWh/1000)*0.902</f>
        <v>3121.2305308184</v>
      </c>
      <c r="E8" s="33">
        <f>$C$28*'E Balans VL '!I13/100/3.6*1000000</f>
        <v>189.78341136755466</v>
      </c>
      <c r="F8" s="33">
        <f>$C$28*('E Balans VL '!L13+'E Balans VL '!N13)/100/3.6*1000000</f>
        <v>1179.2796882712848</v>
      </c>
      <c r="G8" s="34"/>
      <c r="H8" s="33"/>
      <c r="I8" s="33"/>
      <c r="J8" s="33">
        <f>$C$28*('E Balans VL '!D13+'E Balans VL '!E13)/100/3.6*1000000</f>
        <v>0</v>
      </c>
      <c r="K8" s="33"/>
      <c r="L8" s="33"/>
      <c r="M8" s="33"/>
      <c r="N8" s="33">
        <f>$C$28*'E Balans VL '!Y13/100/3.6*1000000</f>
        <v>7.136411887944309</v>
      </c>
      <c r="O8" s="33"/>
      <c r="P8" s="33"/>
      <c r="R8" s="32"/>
    </row>
    <row r="9" spans="1:18">
      <c r="A9" s="32" t="s">
        <v>51</v>
      </c>
      <c r="B9" s="37">
        <f t="shared" si="0"/>
        <v>137.47973005</v>
      </c>
      <c r="C9" s="33"/>
      <c r="D9" s="37">
        <f>IF(ISERROR(TER_gezond_gas_kWh/1000),0,TER_gezond_gas_kWh/1000)*0.902</f>
        <v>150.75103938884001</v>
      </c>
      <c r="E9" s="33">
        <f>$C$29*'E Balans VL '!I10/100/3.6*1000000</f>
        <v>1.7601427326664629E-2</v>
      </c>
      <c r="F9" s="33">
        <f>$C$29*('E Balans VL '!L10+'E Balans VL '!N10)/100/3.6*1000000</f>
        <v>28.642790072978386</v>
      </c>
      <c r="G9" s="34"/>
      <c r="H9" s="33"/>
      <c r="I9" s="33"/>
      <c r="J9" s="33">
        <f>$C$29*('E Balans VL '!D10+'E Balans VL '!E10)/100/3.6*1000000</f>
        <v>0</v>
      </c>
      <c r="K9" s="33"/>
      <c r="L9" s="33"/>
      <c r="M9" s="33"/>
      <c r="N9" s="33">
        <f>$C$29*'E Balans VL '!Y10/100/3.6*1000000</f>
        <v>1.6147644109005133</v>
      </c>
      <c r="O9" s="33"/>
      <c r="P9" s="33"/>
      <c r="R9" s="32"/>
    </row>
    <row r="10" spans="1:18">
      <c r="A10" s="32" t="s">
        <v>50</v>
      </c>
      <c r="B10" s="37">
        <f t="shared" si="0"/>
        <v>2168.5280980000002</v>
      </c>
      <c r="C10" s="33"/>
      <c r="D10" s="37">
        <f>IF(ISERROR(TER_ander_gas_kWh/1000),0,TER_ander_gas_kWh/1000)*0.902</f>
        <v>1305.5684691786</v>
      </c>
      <c r="E10" s="33">
        <f>$C$30*'E Balans VL '!I14/100/3.6*1000000</f>
        <v>3.2609562962069121</v>
      </c>
      <c r="F10" s="33">
        <f>$C$30*('E Balans VL '!L14+'E Balans VL '!N14)/100/3.6*1000000</f>
        <v>478.74110240910483</v>
      </c>
      <c r="G10" s="34"/>
      <c r="H10" s="33"/>
      <c r="I10" s="33"/>
      <c r="J10" s="33">
        <f>$C$30*('E Balans VL '!D14+'E Balans VL '!E14)/100/3.6*1000000</f>
        <v>0</v>
      </c>
      <c r="K10" s="33"/>
      <c r="L10" s="33"/>
      <c r="M10" s="33"/>
      <c r="N10" s="33">
        <f>$C$30*'E Balans VL '!Y14/100/3.6*1000000</f>
        <v>1708.9460776626443</v>
      </c>
      <c r="O10" s="33"/>
      <c r="P10" s="33"/>
      <c r="R10" s="32"/>
    </row>
    <row r="11" spans="1:18">
      <c r="A11" s="32" t="s">
        <v>55</v>
      </c>
      <c r="B11" s="37">
        <f t="shared" si="0"/>
        <v>125.46940304</v>
      </c>
      <c r="C11" s="33"/>
      <c r="D11" s="37">
        <f>IF(ISERROR(TER_onderwijs_gas_kWh/1000),0,TER_onderwijs_gas_kWh/1000)*0.902</f>
        <v>1009.0095369706002</v>
      </c>
      <c r="E11" s="33">
        <f>$C$31*'E Balans VL '!I11/100/3.6*1000000</f>
        <v>0.22096213305307061</v>
      </c>
      <c r="F11" s="33">
        <f>$C$31*('E Balans VL '!L11+'E Balans VL '!N11)/100/3.6*1000000</f>
        <v>57.931493748660984</v>
      </c>
      <c r="G11" s="34"/>
      <c r="H11" s="33"/>
      <c r="I11" s="33"/>
      <c r="J11" s="33">
        <f>$C$31*('E Balans VL '!D11+'E Balans VL '!E11)/100/3.6*1000000</f>
        <v>0</v>
      </c>
      <c r="K11" s="33"/>
      <c r="L11" s="33"/>
      <c r="M11" s="33"/>
      <c r="N11" s="33">
        <f>$C$31*'E Balans VL '!Y11/100/3.6*1000000</f>
        <v>0.23375123295212963</v>
      </c>
      <c r="O11" s="33"/>
      <c r="P11" s="33"/>
      <c r="R11" s="32"/>
    </row>
    <row r="12" spans="1:18">
      <c r="A12" s="32" t="s">
        <v>260</v>
      </c>
      <c r="B12" s="37">
        <f t="shared" si="0"/>
        <v>6495.2411769999999</v>
      </c>
      <c r="C12" s="33"/>
      <c r="D12" s="37">
        <f>IF(ISERROR(TER_rest_gas_kWh/1000),0,TER_rest_gas_kWh/1000)*0.902</f>
        <v>9397.9646117060001</v>
      </c>
      <c r="E12" s="33">
        <f>$C$32*'E Balans VL '!I8/100/3.6*1000000</f>
        <v>114.35853917912129</v>
      </c>
      <c r="F12" s="33">
        <f>$C$32*('E Balans VL '!L8+'E Balans VL '!N8)/100/3.6*1000000</f>
        <v>1673.3775861283468</v>
      </c>
      <c r="G12" s="34"/>
      <c r="H12" s="33"/>
      <c r="I12" s="33"/>
      <c r="J12" s="33">
        <f>$C$32*('E Balans VL '!D8+'E Balans VL '!E8)/100/3.6*1000000</f>
        <v>0</v>
      </c>
      <c r="K12" s="33"/>
      <c r="L12" s="33"/>
      <c r="M12" s="33"/>
      <c r="N12" s="33">
        <f>$C$32*'E Balans VL '!Y8/100/3.6*1000000</f>
        <v>573.15279510408607</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27612.254299189997</v>
      </c>
      <c r="C16" s="21">
        <f t="shared" ca="1" si="1"/>
        <v>0</v>
      </c>
      <c r="D16" s="21">
        <f t="shared" ca="1" si="1"/>
        <v>30631.620604028842</v>
      </c>
      <c r="E16" s="21">
        <f t="shared" si="1"/>
        <v>601.75326315389566</v>
      </c>
      <c r="F16" s="21">
        <f t="shared" ca="1" si="1"/>
        <v>7771.0728861202351</v>
      </c>
      <c r="G16" s="21">
        <f t="shared" si="1"/>
        <v>0</v>
      </c>
      <c r="H16" s="21">
        <f t="shared" si="1"/>
        <v>0</v>
      </c>
      <c r="I16" s="21">
        <f t="shared" si="1"/>
        <v>0</v>
      </c>
      <c r="J16" s="21">
        <f t="shared" si="1"/>
        <v>0</v>
      </c>
      <c r="K16" s="21">
        <f t="shared" si="1"/>
        <v>0</v>
      </c>
      <c r="L16" s="21">
        <f t="shared" ca="1" si="1"/>
        <v>0</v>
      </c>
      <c r="M16" s="21">
        <f t="shared" si="1"/>
        <v>0</v>
      </c>
      <c r="N16" s="21">
        <f t="shared" ca="1" si="1"/>
        <v>2298.9103898340691</v>
      </c>
      <c r="O16" s="21">
        <f>O5</f>
        <v>7.8166666666666664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0.21497057352197932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5935.8221429316127</v>
      </c>
      <c r="C20" s="23">
        <f t="shared" ref="C20:P20" ca="1" si="2">C16*C18</f>
        <v>0</v>
      </c>
      <c r="D20" s="23">
        <f t="shared" ca="1" si="2"/>
        <v>6187.5873620138264</v>
      </c>
      <c r="E20" s="23">
        <f t="shared" si="2"/>
        <v>136.59799073593433</v>
      </c>
      <c r="F20" s="23">
        <f t="shared" ca="1" si="2"/>
        <v>2074.8764605941028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6262.5554089999996</v>
      </c>
      <c r="C26" s="39">
        <f>IF(ISERROR(B26*3.6/1000000/'E Balans VL '!Z12*100),0,B26*3.6/1000000/'E Balans VL '!Z12*100)</f>
        <v>0.13414880205062904</v>
      </c>
      <c r="D26" s="237" t="s">
        <v>660</v>
      </c>
      <c r="F26" s="6"/>
    </row>
    <row r="27" spans="1:18">
      <c r="A27" s="231" t="s">
        <v>53</v>
      </c>
      <c r="B27" s="33">
        <f>IF(ISERROR(TER_horeca_ele_kWh/1000),0,TER_horeca_ele_kWh/1000)</f>
        <v>6409.8555268999999</v>
      </c>
      <c r="C27" s="39">
        <f>IF(ISERROR(B27*3.6/1000000/'E Balans VL '!Z9*100),0,B27*3.6/1000000/'E Balans VL '!Z9*100)</f>
        <v>0.51436862560333352</v>
      </c>
      <c r="D27" s="237" t="s">
        <v>660</v>
      </c>
      <c r="F27" s="6"/>
    </row>
    <row r="28" spans="1:18">
      <c r="A28" s="171" t="s">
        <v>52</v>
      </c>
      <c r="B28" s="33">
        <f>IF(ISERROR(TER_handel_ele_kWh/1000),0,TER_handel_ele_kWh/1000)</f>
        <v>6013.1249551999999</v>
      </c>
      <c r="C28" s="39">
        <f>IF(ISERROR(B28*3.6/1000000/'E Balans VL '!Z13*100),0,B28*3.6/1000000/'E Balans VL '!Z13*100)</f>
        <v>0.17735269626934769</v>
      </c>
      <c r="D28" s="237" t="s">
        <v>660</v>
      </c>
      <c r="F28" s="6"/>
    </row>
    <row r="29" spans="1:18">
      <c r="A29" s="231" t="s">
        <v>51</v>
      </c>
      <c r="B29" s="33">
        <f>IF(ISERROR(TER_gezond_ele_kWh/1000),0,TER_gezond_ele_kWh/1000)</f>
        <v>137.47973005</v>
      </c>
      <c r="C29" s="39">
        <f>IF(ISERROR(B29*3.6/1000000/'E Balans VL '!Z10*100),0,B29*3.6/1000000/'E Balans VL '!Z10*100)</f>
        <v>1.467914919955463E-2</v>
      </c>
      <c r="D29" s="237" t="s">
        <v>660</v>
      </c>
      <c r="F29" s="6"/>
    </row>
    <row r="30" spans="1:18">
      <c r="A30" s="231" t="s">
        <v>50</v>
      </c>
      <c r="B30" s="33">
        <f>IF(ISERROR(TER_ander_ele_kWh/1000),0,TER_ander_ele_kWh/1000)</f>
        <v>2168.5280980000002</v>
      </c>
      <c r="C30" s="39">
        <f>IF(ISERROR(B30*3.6/1000000/'E Balans VL '!Z14*100),0,B30*3.6/1000000/'E Balans VL '!Z14*100)</f>
        <v>0.16379744270829527</v>
      </c>
      <c r="D30" s="237" t="s">
        <v>660</v>
      </c>
      <c r="F30" s="6"/>
    </row>
    <row r="31" spans="1:18">
      <c r="A31" s="231" t="s">
        <v>55</v>
      </c>
      <c r="B31" s="33">
        <f>IF(ISERROR(TER_onderwijs_ele_kWh/1000),0,TER_onderwijs_ele_kWh/1000)</f>
        <v>125.46940304</v>
      </c>
      <c r="C31" s="39">
        <f>IF(ISERROR(B31*3.6/1000000/'E Balans VL '!Z11*100),0,B31*3.6/1000000/'E Balans VL '!Z11*100)</f>
        <v>2.5336460966028141E-2</v>
      </c>
      <c r="D31" s="237" t="s">
        <v>660</v>
      </c>
    </row>
    <row r="32" spans="1:18">
      <c r="A32" s="231" t="s">
        <v>260</v>
      </c>
      <c r="B32" s="33">
        <f>IF(ISERROR(TER_rest_ele_kWh/1000),0,TER_rest_ele_kWh/1000)</f>
        <v>6495.2411769999999</v>
      </c>
      <c r="C32" s="39">
        <f>IF(ISERROR(B32*3.6/1000000/'E Balans VL '!Z8*100),0,B32*3.6/1000000/'E Balans VL '!Z8*100)</f>
        <v>5.3854593915420447E-2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1626.8150029099997</v>
      </c>
      <c r="C5" s="17">
        <f>IF(ISERROR('Eigen informatie GS &amp; warmtenet'!B59),0,'Eigen informatie GS &amp; warmtenet'!B59)</f>
        <v>0</v>
      </c>
      <c r="D5" s="30">
        <f>SUM(D6:D15)</f>
        <v>1965.4418625579319</v>
      </c>
      <c r="E5" s="17">
        <f>SUM(E6:E15)</f>
        <v>224.19160724416957</v>
      </c>
      <c r="F5" s="17">
        <f>SUM(F6:F15)</f>
        <v>848.15705555242198</v>
      </c>
      <c r="G5" s="18"/>
      <c r="H5" s="17"/>
      <c r="I5" s="17"/>
      <c r="J5" s="17">
        <f>SUM(J6:J15)</f>
        <v>4.1206229909790322</v>
      </c>
      <c r="K5" s="17"/>
      <c r="L5" s="17"/>
      <c r="M5" s="17"/>
      <c r="N5" s="17">
        <f>SUM(N6:N15)</f>
        <v>441.15718833426706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108.93102784</v>
      </c>
      <c r="C8" s="33"/>
      <c r="D8" s="37">
        <f>IF( ISERROR(IND_metaal_Gas_kWH/1000),0,IND_metaal_Gas_kWH/1000)*0.902</f>
        <v>54.333574004951998</v>
      </c>
      <c r="E8" s="33">
        <f>C30*'E Balans VL '!I18/100/3.6*1000000</f>
        <v>3.9196679203811864</v>
      </c>
      <c r="F8" s="33">
        <f>C30*'E Balans VL '!L18/100/3.6*1000000+C30*'E Balans VL '!N18/100/3.6*1000000</f>
        <v>47.566648693722904</v>
      </c>
      <c r="G8" s="34"/>
      <c r="H8" s="33"/>
      <c r="I8" s="33"/>
      <c r="J8" s="40">
        <f>C30*'E Balans VL '!D18/100/3.6*1000000+C30*'E Balans VL '!E18/100/3.6*1000000</f>
        <v>0</v>
      </c>
      <c r="K8" s="33"/>
      <c r="L8" s="33"/>
      <c r="M8" s="33"/>
      <c r="N8" s="33">
        <f>C30*'E Balans VL '!Y18/100/3.6*1000000</f>
        <v>5.4595490888635663</v>
      </c>
      <c r="O8" s="33"/>
      <c r="P8" s="33"/>
      <c r="R8" s="32"/>
    </row>
    <row r="9" spans="1:18">
      <c r="A9" s="6" t="s">
        <v>33</v>
      </c>
      <c r="B9" s="37">
        <f t="shared" si="0"/>
        <v>726.94865046999996</v>
      </c>
      <c r="C9" s="33"/>
      <c r="D9" s="37">
        <f>IF( ISERROR(IND_andere_gas_kWh/1000),0,IND_andere_gas_kWh/1000)*0.902</f>
        <v>1104.7838425800001</v>
      </c>
      <c r="E9" s="33">
        <f>C31*'E Balans VL '!I19/100/3.6*1000000</f>
        <v>185.50084792604491</v>
      </c>
      <c r="F9" s="33">
        <f>C31*'E Balans VL '!L19/100/3.6*1000000+C31*'E Balans VL '!N19/100/3.6*1000000</f>
        <v>625.84814846989605</v>
      </c>
      <c r="G9" s="34"/>
      <c r="H9" s="33"/>
      <c r="I9" s="33"/>
      <c r="J9" s="40">
        <f>C31*'E Balans VL '!D19/100/3.6*1000000+C31*'E Balans VL '!E19/100/3.6*1000000</f>
        <v>0</v>
      </c>
      <c r="K9" s="33"/>
      <c r="L9" s="33"/>
      <c r="M9" s="33"/>
      <c r="N9" s="33">
        <f>C31*'E Balans VL '!Y19/100/3.6*1000000</f>
        <v>227.34173839320334</v>
      </c>
      <c r="O9" s="33"/>
      <c r="P9" s="33"/>
      <c r="R9" s="32"/>
    </row>
    <row r="10" spans="1:18">
      <c r="A10" s="6" t="s">
        <v>41</v>
      </c>
      <c r="B10" s="37">
        <f t="shared" si="0"/>
        <v>282.66293536000001</v>
      </c>
      <c r="C10" s="33"/>
      <c r="D10" s="37">
        <f>IF( ISERROR(IND_voed_gas_kWh/1000),0,IND_voed_gas_kWh/1000)*0.902</f>
        <v>534.57572387031996</v>
      </c>
      <c r="E10" s="33">
        <f>C32*'E Balans VL '!I20/100/3.6*1000000</f>
        <v>7.1856799448678839</v>
      </c>
      <c r="F10" s="33">
        <f>C32*'E Balans VL '!L20/100/3.6*1000000+C32*'E Balans VL '!N20/100/3.6*1000000</f>
        <v>63.962379135379912</v>
      </c>
      <c r="G10" s="34"/>
      <c r="H10" s="33"/>
      <c r="I10" s="33"/>
      <c r="J10" s="40">
        <f>C32*'E Balans VL '!D20/100/3.6*1000000+C32*'E Balans VL '!E20/100/3.6*1000000</f>
        <v>0</v>
      </c>
      <c r="K10" s="33"/>
      <c r="L10" s="33"/>
      <c r="M10" s="33"/>
      <c r="N10" s="33">
        <f>C32*'E Balans VL '!Y20/100/3.6*1000000</f>
        <v>106.00626264023271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508.27238924</v>
      </c>
      <c r="C15" s="33"/>
      <c r="D15" s="37">
        <f>IF( ISERROR(IND_rest_gas_kWh/1000),0,IND_rest_gas_kWh/1000)*0.902</f>
        <v>271.74872210266</v>
      </c>
      <c r="E15" s="33">
        <f>C37*'E Balans VL '!I15/100/3.6*1000000</f>
        <v>27.585411452875594</v>
      </c>
      <c r="F15" s="33">
        <f>C37*'E Balans VL '!L15/100/3.6*1000000+C37*'E Balans VL '!N15/100/3.6*1000000</f>
        <v>110.77987925342316</v>
      </c>
      <c r="G15" s="34"/>
      <c r="H15" s="33"/>
      <c r="I15" s="33"/>
      <c r="J15" s="40">
        <f>C37*'E Balans VL '!D15/100/3.6*1000000+C37*'E Balans VL '!E15/100/3.6*1000000</f>
        <v>4.1206229909790322</v>
      </c>
      <c r="K15" s="33"/>
      <c r="L15" s="33"/>
      <c r="M15" s="33"/>
      <c r="N15" s="33">
        <f>C37*'E Balans VL '!Y15/100/3.6*1000000</f>
        <v>102.34963821196743</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1626.8150029099997</v>
      </c>
      <c r="C18" s="21">
        <f>C5+C16</f>
        <v>0</v>
      </c>
      <c r="D18" s="21">
        <f>MAX((D5+D16),0)</f>
        <v>1965.4418625579319</v>
      </c>
      <c r="E18" s="21">
        <f>MAX((E5+E16),0)</f>
        <v>224.19160724416957</v>
      </c>
      <c r="F18" s="21">
        <f>MAX((F5+F16),0)</f>
        <v>848.15705555242198</v>
      </c>
      <c r="G18" s="21"/>
      <c r="H18" s="21"/>
      <c r="I18" s="21"/>
      <c r="J18" s="21">
        <f>MAX((J5+J16),0)</f>
        <v>4.1206229909790322</v>
      </c>
      <c r="K18" s="21"/>
      <c r="L18" s="21">
        <f>MAX((L5+L16),0)</f>
        <v>0</v>
      </c>
      <c r="M18" s="21"/>
      <c r="N18" s="21">
        <f>MAX((N5+N16),0)</f>
        <v>441.15718833426706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0.21497057352197932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349.7173541897231</v>
      </c>
      <c r="C22" s="23">
        <f ca="1">C18*C20</f>
        <v>0</v>
      </c>
      <c r="D22" s="23">
        <f>D18*D20</f>
        <v>397.01925623670229</v>
      </c>
      <c r="E22" s="23">
        <f>E18*E20</f>
        <v>50.891494844426497</v>
      </c>
      <c r="F22" s="23">
        <f>F18*F20</f>
        <v>226.45793383249668</v>
      </c>
      <c r="G22" s="23"/>
      <c r="H22" s="23"/>
      <c r="I22" s="23"/>
      <c r="J22" s="23">
        <f>J18*J20</f>
        <v>1.4587005388065772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108.93102784</v>
      </c>
      <c r="C30" s="39">
        <f>IF(ISERROR(B30*3.6/1000000/'E Balans VL '!Z18*100),0,B30*3.6/1000000/'E Balans VL '!Z18*100)</f>
        <v>2.3080149379610362E-2</v>
      </c>
      <c r="D30" s="237" t="s">
        <v>660</v>
      </c>
    </row>
    <row r="31" spans="1:18">
      <c r="A31" s="6" t="s">
        <v>33</v>
      </c>
      <c r="B31" s="37">
        <f>IF( ISERROR(IND_ander_ele_kWh/1000),0,IND_ander_ele_kWh/1000)</f>
        <v>726.94865046999996</v>
      </c>
      <c r="C31" s="39">
        <f>IF(ISERROR(B31*3.6/1000000/'E Balans VL '!Z19*100),0,B31*3.6/1000000/'E Balans VL '!Z19*100)</f>
        <v>3.059891935523873E-2</v>
      </c>
      <c r="D31" s="237" t="s">
        <v>660</v>
      </c>
    </row>
    <row r="32" spans="1:18">
      <c r="A32" s="171" t="s">
        <v>41</v>
      </c>
      <c r="B32" s="37">
        <f>IF( ISERROR(IND_voed_ele_kWh/1000),0,IND_voed_ele_kWh/1000)</f>
        <v>282.66293536000001</v>
      </c>
      <c r="C32" s="39">
        <f>IF(ISERROR(B32*3.6/1000000/'E Balans VL '!Z20*100),0,B32*3.6/1000000/'E Balans VL '!Z20*100)</f>
        <v>4.7222041463046149E-2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508.27238924</v>
      </c>
      <c r="C37" s="39">
        <f>IF(ISERROR(B37*3.6/1000000/'E Balans VL '!Z15*100),0,B37*3.6/1000000/'E Balans VL '!Z15*100)</f>
        <v>4.1034798104242686E-3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416.85627600300006</v>
      </c>
      <c r="C5" s="17">
        <f>'Eigen informatie GS &amp; warmtenet'!B60</f>
        <v>0</v>
      </c>
      <c r="D5" s="30">
        <f>IF(ISERROR(SUM(LB_lb_gas_kWh,LB_rest_gas_kWh,onbekend_gas_kWh)/1000),0,SUM(LB_lb_gas_kWh,LB_rest_gas_kWh,onbekend_gas_kWh)/1000)*0.902</f>
        <v>7941.439627985952</v>
      </c>
      <c r="E5" s="17">
        <f>B17*'E Balans VL '!I25/3.6*1000000/100</f>
        <v>10.749122815063915</v>
      </c>
      <c r="F5" s="17">
        <f>B17*('E Balans VL '!L25/3.6*1000000+'E Balans VL '!N25/3.6*1000000)/100</f>
        <v>1523.6890752123645</v>
      </c>
      <c r="G5" s="18"/>
      <c r="H5" s="17"/>
      <c r="I5" s="17"/>
      <c r="J5" s="17">
        <f>('E Balans VL '!D25+'E Balans VL '!E25)/3.6*1000000*landbouw!B17/100</f>
        <v>60.011968995557503</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416.85627600300006</v>
      </c>
      <c r="C8" s="21">
        <f>C5+C6</f>
        <v>0</v>
      </c>
      <c r="D8" s="21">
        <f>MAX((D5+D6),0)</f>
        <v>7941.439627985952</v>
      </c>
      <c r="E8" s="21">
        <f>MAX((E5+E6),0)</f>
        <v>10.749122815063915</v>
      </c>
      <c r="F8" s="21">
        <f>MAX((F5+F6),0)</f>
        <v>1523.6890752123645</v>
      </c>
      <c r="G8" s="21"/>
      <c r="H8" s="21"/>
      <c r="I8" s="21"/>
      <c r="J8" s="21">
        <f>MAX((J5+J6),0)</f>
        <v>60.011968995557503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0.21497057352197932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89.611832728601428</v>
      </c>
      <c r="C12" s="23">
        <f ca="1">C8*C10</f>
        <v>0</v>
      </c>
      <c r="D12" s="23">
        <f>D8*D10</f>
        <v>1604.1708048531625</v>
      </c>
      <c r="E12" s="23">
        <f>E8*E10</f>
        <v>2.4400508790195086</v>
      </c>
      <c r="F12" s="23">
        <f>F8*F10</f>
        <v>406.82498308170136</v>
      </c>
      <c r="G12" s="23"/>
      <c r="H12" s="23"/>
      <c r="I12" s="23"/>
      <c r="J12" s="23">
        <f>J8*J10</f>
        <v>21.244237024427356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5.8779496110481347E-2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171.33836704131221</v>
      </c>
      <c r="C26" s="247">
        <f>B26*'GWP N2O_CH4'!B5</f>
        <v>3598.1057078675562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46.599737342977853</v>
      </c>
      <c r="C27" s="247">
        <f>B27*'GWP N2O_CH4'!B5</f>
        <v>978.59448420253489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1.8391380468635301</v>
      </c>
      <c r="C28" s="247">
        <f>B28*'GWP N2O_CH4'!B4</f>
        <v>570.13279452769439</v>
      </c>
      <c r="D28" s="50"/>
    </row>
    <row r="29" spans="1:4">
      <c r="A29" s="41" t="s">
        <v>277</v>
      </c>
      <c r="B29" s="247">
        <f>B34*'ha_N2O bodem landbouw'!B4</f>
        <v>7.5929099348341298</v>
      </c>
      <c r="C29" s="247">
        <f>B29*'GWP N2O_CH4'!B4</f>
        <v>2353.8020797985801</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1.7088173460661346E-3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5.2212145442851184E-5</v>
      </c>
      <c r="C5" s="463" t="s">
        <v>211</v>
      </c>
      <c r="D5" s="448">
        <f>SUM(D6:D11)</f>
        <v>1.1019612007859617E-4</v>
      </c>
      <c r="E5" s="448">
        <f>SUM(E6:E11)</f>
        <v>4.8368143587832315E-4</v>
      </c>
      <c r="F5" s="461" t="s">
        <v>211</v>
      </c>
      <c r="G5" s="448">
        <f>SUM(G6:G11)</f>
        <v>0.26730750159099514</v>
      </c>
      <c r="H5" s="448">
        <f>SUM(H6:H11)</f>
        <v>3.0429846465897938E-2</v>
      </c>
      <c r="I5" s="463" t="s">
        <v>211</v>
      </c>
      <c r="J5" s="463" t="s">
        <v>211</v>
      </c>
      <c r="K5" s="463" t="s">
        <v>211</v>
      </c>
      <c r="L5" s="463" t="s">
        <v>211</v>
      </c>
      <c r="M5" s="448">
        <f>SUM(M6:M11)</f>
        <v>9.3325496609707632E-3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2.3405399448621309E-5</v>
      </c>
      <c r="C6" s="449"/>
      <c r="D6" s="962">
        <f>vkm_2011_GW_PW*SUMIFS(TableVerdeelsleutelVkm[CNG],TableVerdeelsleutelVkm[Voertuigtype],"Lichte voertuigen")*SUMIFS(TableECFTransport[EnergieConsumptieFactor (PJ per km)],TableECFTransport[Index],CONCATENATE($A6,"_CNG_CNG"))</f>
        <v>4.6506938685896561E-5</v>
      </c>
      <c r="E6" s="962">
        <f>vkm_2011_GW_PW*SUMIFS(TableVerdeelsleutelVkm[LPG],TableVerdeelsleutelVkm[Voertuigtype],"Lichte voertuigen")*SUMIFS(TableECFTransport[EnergieConsumptieFactor (PJ per km)],TableECFTransport[Index],CONCATENATE($A6,"_LPG_LPG"))</f>
        <v>1.8302147521675268E-4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4.3516226973541385E-2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1.2590827432590738E-2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1.7483476253066358E-3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2.4711468017365856E-2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7.982859683090651E-6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7.7862054680143263E-4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2.6202581347782108E-6</v>
      </c>
      <c r="C8" s="449"/>
      <c r="D8" s="451">
        <f>vkm_2011_NGW_PW*SUMIFS(TableVerdeelsleutelVkm[CNG],TableVerdeelsleutelVkm[Voertuigtype],"Lichte voertuigen")*SUMIFS(TableECFTransport[EnergieConsumptieFactor (PJ per km)],TableECFTransport[Index],CONCATENATE($A8,"_CNG_CNG"))</f>
        <v>9.2188101151345589E-6</v>
      </c>
      <c r="E8" s="451">
        <f>vkm_2011_NGW_PW*SUMIFS(TableVerdeelsleutelVkm[LPG],TableVerdeelsleutelVkm[Voertuigtype],"Lichte voertuigen")*SUMIFS(TableECFTransport[EnergieConsumptieFactor (PJ per km)],TableECFTransport[Index],CONCATENATE($A8,"_LPG_LPG"))</f>
        <v>3.3551964032891612E-5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7.4494791953499638E-3</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2.420072649311576E-3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3.0723529772597213E-4</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2.8366954049254861E-3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8.6663449884392601E-7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8.93784400079396E-5</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2.6186487859451662E-5</v>
      </c>
      <c r="C10" s="449"/>
      <c r="D10" s="451">
        <f>vkm_2011_SW_PW*SUMIFS(TableVerdeelsleutelVkm[CNG],TableVerdeelsleutelVkm[Voertuigtype],"Lichte voertuigen")*SUMIFS(TableECFTransport[EnergieConsumptieFactor (PJ per km)],TableECFTransport[Index],CONCATENATE($A10,"_CNG_CNG"))</f>
        <v>5.4470371277565047E-5</v>
      </c>
      <c r="E10" s="451">
        <f>vkm_2011_SW_PW*SUMIFS(TableVerdeelsleutelVkm[LPG],TableVerdeelsleutelVkm[Voertuigtype],"Lichte voertuigen")*SUMIFS(TableECFTransport[EnergieConsumptieFactor (PJ per km)],TableECFTransport[Index],CONCATENATE($A10,"_LPG_LPG"))</f>
        <v>2.6710799662867888E-4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5.6890936448393152E-2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1.5364187036776967E-2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2.2528166683633581E-3</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0.13190269555141931</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4.5909853036723985E-5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4.1561510827654241E-3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14.503373734125329</v>
      </c>
      <c r="C14" s="21"/>
      <c r="D14" s="21">
        <f t="shared" ref="D14:M14" si="0">((D5)*10^9/3600)+D12</f>
        <v>30.610033355165601</v>
      </c>
      <c r="E14" s="21">
        <f t="shared" si="0"/>
        <v>134.35595441064532</v>
      </c>
      <c r="F14" s="21"/>
      <c r="G14" s="21">
        <f t="shared" si="0"/>
        <v>74252.08377527642</v>
      </c>
      <c r="H14" s="21">
        <f t="shared" si="0"/>
        <v>8452.7351294160944</v>
      </c>
      <c r="I14" s="21"/>
      <c r="J14" s="21"/>
      <c r="K14" s="21"/>
      <c r="L14" s="21"/>
      <c r="M14" s="21">
        <f t="shared" si="0"/>
        <v>2592.374905825212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0.21497057352197932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3.1177985696285329</v>
      </c>
      <c r="C18" s="23"/>
      <c r="D18" s="23">
        <f t="shared" ref="D18:M18" si="1">D14*D16</f>
        <v>6.1832267377434516</v>
      </c>
      <c r="E18" s="23">
        <f t="shared" si="1"/>
        <v>30.498801651216489</v>
      </c>
      <c r="F18" s="23"/>
      <c r="G18" s="23">
        <f t="shared" si="1"/>
        <v>19825.306367998804</v>
      </c>
      <c r="H18" s="23">
        <f t="shared" si="1"/>
        <v>2104.7310472246077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2.8512543971623509E-3</v>
      </c>
      <c r="C50" s="321">
        <f t="shared" ref="C50:P50" si="2">SUM(C51:C52)</f>
        <v>0</v>
      </c>
      <c r="D50" s="321">
        <f t="shared" si="2"/>
        <v>0</v>
      </c>
      <c r="E50" s="321">
        <f t="shared" si="2"/>
        <v>0</v>
      </c>
      <c r="F50" s="321">
        <f t="shared" si="2"/>
        <v>0</v>
      </c>
      <c r="G50" s="321">
        <f t="shared" si="2"/>
        <v>5.8325525565582331E-4</v>
      </c>
      <c r="H50" s="321">
        <f t="shared" si="2"/>
        <v>0</v>
      </c>
      <c r="I50" s="321">
        <f t="shared" si="2"/>
        <v>0</v>
      </c>
      <c r="J50" s="321">
        <f t="shared" si="2"/>
        <v>0</v>
      </c>
      <c r="K50" s="321">
        <f t="shared" si="2"/>
        <v>0</v>
      </c>
      <c r="L50" s="321">
        <f t="shared" si="2"/>
        <v>0</v>
      </c>
      <c r="M50" s="321">
        <f t="shared" si="2"/>
        <v>1.8091273182232878E-5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5.8325525565582331E-4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1.8091273182232878E-5</v>
      </c>
      <c r="N51" s="323"/>
      <c r="O51" s="323"/>
      <c r="P51" s="326"/>
    </row>
    <row r="52" spans="1:18">
      <c r="A52" s="4" t="s">
        <v>330</v>
      </c>
      <c r="B52" s="963">
        <f>vkm_2011_tram*SUMIFS(TableECFTransport[EnergieConsumptieFactor (PJ per km)],TableECFTransport[Index],"Tram_gemiddeld_Electric_Electric")</f>
        <v>2.8512543971623509E-3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792.01511032287522</v>
      </c>
      <c r="C54" s="21">
        <f t="shared" ref="C54:P54" si="3">(C50)*10^9/3600</f>
        <v>0</v>
      </c>
      <c r="D54" s="21">
        <f t="shared" si="3"/>
        <v>0</v>
      </c>
      <c r="E54" s="21">
        <f t="shared" si="3"/>
        <v>0</v>
      </c>
      <c r="F54" s="21">
        <f t="shared" si="3"/>
        <v>0</v>
      </c>
      <c r="G54" s="21">
        <f t="shared" si="3"/>
        <v>162.01534879328423</v>
      </c>
      <c r="H54" s="21">
        <f t="shared" si="3"/>
        <v>0</v>
      </c>
      <c r="I54" s="21">
        <f t="shared" si="3"/>
        <v>0</v>
      </c>
      <c r="J54" s="21">
        <f t="shared" si="3"/>
        <v>0</v>
      </c>
      <c r="K54" s="21">
        <f t="shared" si="3"/>
        <v>0</v>
      </c>
      <c r="L54" s="21">
        <f t="shared" si="3"/>
        <v>0</v>
      </c>
      <c r="M54" s="21">
        <f t="shared" si="3"/>
        <v>5.025353661731355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0.21497057352197932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170.25994250418222</v>
      </c>
      <c r="C58" s="23">
        <f t="shared" ref="C58:P58" ca="1" si="4">C54*C56</f>
        <v>0</v>
      </c>
      <c r="D58" s="23">
        <f t="shared" si="4"/>
        <v>0</v>
      </c>
      <c r="E58" s="23">
        <f t="shared" si="4"/>
        <v>0</v>
      </c>
      <c r="F58" s="23">
        <f t="shared" si="4"/>
        <v>0</v>
      </c>
      <c r="G58" s="23">
        <f t="shared" si="4"/>
        <v>43.258098127806889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1546.1137265316249</v>
      </c>
      <c r="C6" s="1203"/>
      <c r="D6" s="1188"/>
      <c r="E6" s="1188"/>
      <c r="F6" s="1206"/>
      <c r="G6" s="1209"/>
      <c r="H6" s="1200"/>
      <c r="I6" s="1188"/>
      <c r="J6" s="1188"/>
      <c r="K6" s="1188"/>
      <c r="L6" s="1192"/>
      <c r="M6" s="575"/>
      <c r="N6" s="1166"/>
      <c r="O6" s="1167"/>
      <c r="Q6" s="573"/>
      <c r="R6" s="1154"/>
      <c r="S6" s="115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1546.1137265316249</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29176.921299189999</v>
      </c>
      <c r="D10" s="718">
        <f ca="1">tertiair!C16</f>
        <v>0</v>
      </c>
      <c r="E10" s="718">
        <f ca="1">tertiair!D16</f>
        <v>30631.620604028842</v>
      </c>
      <c r="F10" s="718">
        <f>tertiair!E16</f>
        <v>601.75326315389566</v>
      </c>
      <c r="G10" s="718">
        <f ca="1">tertiair!F16</f>
        <v>7771.0728861202351</v>
      </c>
      <c r="H10" s="718">
        <f>tertiair!G16</f>
        <v>0</v>
      </c>
      <c r="I10" s="718">
        <f>tertiair!H16</f>
        <v>0</v>
      </c>
      <c r="J10" s="718">
        <f>tertiair!I16</f>
        <v>0</v>
      </c>
      <c r="K10" s="718">
        <f>tertiair!J16</f>
        <v>0</v>
      </c>
      <c r="L10" s="718">
        <f>tertiair!K16</f>
        <v>0</v>
      </c>
      <c r="M10" s="718">
        <f ca="1">tertiair!L16</f>
        <v>0</v>
      </c>
      <c r="N10" s="718">
        <f>tertiair!M16</f>
        <v>0</v>
      </c>
      <c r="O10" s="718">
        <f ca="1">tertiair!N16</f>
        <v>2298.9103898340691</v>
      </c>
      <c r="P10" s="718">
        <f>tertiair!O16</f>
        <v>7.8166666666666664</v>
      </c>
      <c r="Q10" s="719">
        <f>tertiair!P16</f>
        <v>0</v>
      </c>
      <c r="R10" s="721">
        <f ca="1">SUM(C10:Q10)</f>
        <v>70488.095108993701</v>
      </c>
      <c r="S10" s="67"/>
    </row>
    <row r="11" spans="1:19" s="474" customFormat="1">
      <c r="A11" s="870" t="s">
        <v>225</v>
      </c>
      <c r="B11" s="875"/>
      <c r="C11" s="718">
        <f>huishoudens!B8</f>
        <v>24643.47523805793</v>
      </c>
      <c r="D11" s="718">
        <f>huishoudens!C8</f>
        <v>0</v>
      </c>
      <c r="E11" s="718">
        <f>huishoudens!D8</f>
        <v>55678.99974182764</v>
      </c>
      <c r="F11" s="718">
        <f>huishoudens!E8</f>
        <v>0</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0</v>
      </c>
      <c r="P11" s="718">
        <f>huishoudens!O8</f>
        <v>148.51666666666668</v>
      </c>
      <c r="Q11" s="719">
        <f>huishoudens!P8</f>
        <v>152.53333333333333</v>
      </c>
      <c r="R11" s="721">
        <f>SUM(C11:Q11)</f>
        <v>80623.524979885566</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1626.8150029099997</v>
      </c>
      <c r="D13" s="718">
        <f>industrie!C18</f>
        <v>0</v>
      </c>
      <c r="E13" s="718">
        <f>industrie!D18</f>
        <v>1965.4418625579319</v>
      </c>
      <c r="F13" s="718">
        <f>industrie!E18</f>
        <v>224.19160724416957</v>
      </c>
      <c r="G13" s="718">
        <f>industrie!F18</f>
        <v>848.15705555242198</v>
      </c>
      <c r="H13" s="718">
        <f>industrie!G18</f>
        <v>0</v>
      </c>
      <c r="I13" s="718">
        <f>industrie!H18</f>
        <v>0</v>
      </c>
      <c r="J13" s="718">
        <f>industrie!I18</f>
        <v>0</v>
      </c>
      <c r="K13" s="718">
        <f>industrie!J18</f>
        <v>4.1206229909790322</v>
      </c>
      <c r="L13" s="718">
        <f>industrie!K18</f>
        <v>0</v>
      </c>
      <c r="M13" s="718">
        <f>industrie!L18</f>
        <v>0</v>
      </c>
      <c r="N13" s="718">
        <f>industrie!M18</f>
        <v>0</v>
      </c>
      <c r="O13" s="718">
        <f>industrie!N18</f>
        <v>441.15718833426706</v>
      </c>
      <c r="P13" s="718">
        <f>industrie!O18</f>
        <v>0</v>
      </c>
      <c r="Q13" s="719">
        <f>industrie!P18</f>
        <v>0</v>
      </c>
      <c r="R13" s="721">
        <f>SUM(C13:Q13)</f>
        <v>5109.8833395897691</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55447.211540157929</v>
      </c>
      <c r="D15" s="723">
        <f t="shared" ref="D15:Q15" ca="1" si="0">SUM(D9:D14)</f>
        <v>0</v>
      </c>
      <c r="E15" s="723">
        <f t="shared" ca="1" si="0"/>
        <v>88276.062208414412</v>
      </c>
      <c r="F15" s="723">
        <f t="shared" si="0"/>
        <v>825.94487039806518</v>
      </c>
      <c r="G15" s="723">
        <f t="shared" ca="1" si="0"/>
        <v>8619.2299416726564</v>
      </c>
      <c r="H15" s="723">
        <f t="shared" si="0"/>
        <v>0</v>
      </c>
      <c r="I15" s="723">
        <f t="shared" si="0"/>
        <v>0</v>
      </c>
      <c r="J15" s="723">
        <f t="shared" si="0"/>
        <v>0</v>
      </c>
      <c r="K15" s="723">
        <f t="shared" si="0"/>
        <v>4.1206229909790322</v>
      </c>
      <c r="L15" s="723">
        <f t="shared" si="0"/>
        <v>0</v>
      </c>
      <c r="M15" s="723">
        <f t="shared" ca="1" si="0"/>
        <v>0</v>
      </c>
      <c r="N15" s="723">
        <f t="shared" si="0"/>
        <v>0</v>
      </c>
      <c r="O15" s="723">
        <f t="shared" ca="1" si="0"/>
        <v>2740.0675781683362</v>
      </c>
      <c r="P15" s="723">
        <f t="shared" si="0"/>
        <v>156.33333333333334</v>
      </c>
      <c r="Q15" s="724">
        <f t="shared" si="0"/>
        <v>152.53333333333333</v>
      </c>
      <c r="R15" s="725">
        <f ca="1">SUM(R9:R14)</f>
        <v>156221.50342846903</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792.01511032287522</v>
      </c>
      <c r="D18" s="718">
        <f>transport!C54</f>
        <v>0</v>
      </c>
      <c r="E18" s="718">
        <f>transport!D54</f>
        <v>0</v>
      </c>
      <c r="F18" s="718">
        <f>transport!E54</f>
        <v>0</v>
      </c>
      <c r="G18" s="718">
        <f>transport!F54</f>
        <v>0</v>
      </c>
      <c r="H18" s="718">
        <f>transport!G54</f>
        <v>162.01534879328423</v>
      </c>
      <c r="I18" s="718">
        <f>transport!H54</f>
        <v>0</v>
      </c>
      <c r="J18" s="718">
        <f>transport!I54</f>
        <v>0</v>
      </c>
      <c r="K18" s="718">
        <f>transport!J54</f>
        <v>0</v>
      </c>
      <c r="L18" s="718">
        <f>transport!K54</f>
        <v>0</v>
      </c>
      <c r="M18" s="718">
        <f>transport!L54</f>
        <v>0</v>
      </c>
      <c r="N18" s="718">
        <f>transport!M54</f>
        <v>5.025353661731355</v>
      </c>
      <c r="O18" s="718">
        <f>transport!N54</f>
        <v>0</v>
      </c>
      <c r="P18" s="718">
        <f>transport!O54</f>
        <v>0</v>
      </c>
      <c r="Q18" s="719">
        <f>transport!P54</f>
        <v>0</v>
      </c>
      <c r="R18" s="721">
        <f>SUM(C18:Q18)</f>
        <v>959.05581277789088</v>
      </c>
      <c r="S18" s="67"/>
    </row>
    <row r="19" spans="1:19" s="474" customFormat="1" ht="15" thickBot="1">
      <c r="A19" s="870" t="s">
        <v>307</v>
      </c>
      <c r="B19" s="875"/>
      <c r="C19" s="727">
        <f>transport!B14</f>
        <v>14.503373734125329</v>
      </c>
      <c r="D19" s="727">
        <f>transport!C14</f>
        <v>0</v>
      </c>
      <c r="E19" s="727">
        <f>transport!D14</f>
        <v>30.610033355165601</v>
      </c>
      <c r="F19" s="727">
        <f>transport!E14</f>
        <v>134.35595441064532</v>
      </c>
      <c r="G19" s="727">
        <f>transport!F14</f>
        <v>0</v>
      </c>
      <c r="H19" s="727">
        <f>transport!G14</f>
        <v>74252.08377527642</v>
      </c>
      <c r="I19" s="727">
        <f>transport!H14</f>
        <v>8452.7351294160944</v>
      </c>
      <c r="J19" s="727">
        <f>transport!I14</f>
        <v>0</v>
      </c>
      <c r="K19" s="727">
        <f>transport!J14</f>
        <v>0</v>
      </c>
      <c r="L19" s="727">
        <f>transport!K14</f>
        <v>0</v>
      </c>
      <c r="M19" s="727">
        <f>transport!L14</f>
        <v>0</v>
      </c>
      <c r="N19" s="727">
        <f>transport!M14</f>
        <v>2592.374905825212</v>
      </c>
      <c r="O19" s="727">
        <f>transport!N14</f>
        <v>0</v>
      </c>
      <c r="P19" s="727">
        <f>transport!O14</f>
        <v>0</v>
      </c>
      <c r="Q19" s="728">
        <f>transport!P14</f>
        <v>0</v>
      </c>
      <c r="R19" s="729">
        <f>SUM(C19:Q19)</f>
        <v>85476.663172017667</v>
      </c>
      <c r="S19" s="67"/>
    </row>
    <row r="20" spans="1:19" s="474" customFormat="1" ht="15.75" thickBot="1">
      <c r="A20" s="730" t="s">
        <v>230</v>
      </c>
      <c r="B20" s="878"/>
      <c r="C20" s="873">
        <f>SUM(C17:C19)</f>
        <v>806.51848405700059</v>
      </c>
      <c r="D20" s="731">
        <f t="shared" ref="D20:R20" si="1">SUM(D17:D19)</f>
        <v>0</v>
      </c>
      <c r="E20" s="731">
        <f t="shared" si="1"/>
        <v>30.610033355165601</v>
      </c>
      <c r="F20" s="731">
        <f t="shared" si="1"/>
        <v>134.35595441064532</v>
      </c>
      <c r="G20" s="731">
        <f t="shared" si="1"/>
        <v>0</v>
      </c>
      <c r="H20" s="731">
        <f t="shared" si="1"/>
        <v>74414.099124069704</v>
      </c>
      <c r="I20" s="731">
        <f t="shared" si="1"/>
        <v>8452.7351294160944</v>
      </c>
      <c r="J20" s="731">
        <f t="shared" si="1"/>
        <v>0</v>
      </c>
      <c r="K20" s="731">
        <f t="shared" si="1"/>
        <v>0</v>
      </c>
      <c r="L20" s="731">
        <f t="shared" si="1"/>
        <v>0</v>
      </c>
      <c r="M20" s="731">
        <f t="shared" si="1"/>
        <v>0</v>
      </c>
      <c r="N20" s="731">
        <f t="shared" si="1"/>
        <v>2597.4002594869435</v>
      </c>
      <c r="O20" s="731">
        <f t="shared" si="1"/>
        <v>0</v>
      </c>
      <c r="P20" s="731">
        <f t="shared" si="1"/>
        <v>0</v>
      </c>
      <c r="Q20" s="732">
        <f t="shared" si="1"/>
        <v>0</v>
      </c>
      <c r="R20" s="733">
        <f t="shared" si="1"/>
        <v>86435.71898479556</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416.85627600300006</v>
      </c>
      <c r="D22" s="727">
        <f>+landbouw!C8</f>
        <v>0</v>
      </c>
      <c r="E22" s="727">
        <f>+landbouw!D8</f>
        <v>7941.439627985952</v>
      </c>
      <c r="F22" s="727">
        <f>+landbouw!E8</f>
        <v>10.749122815063915</v>
      </c>
      <c r="G22" s="727">
        <f>+landbouw!F8</f>
        <v>1523.6890752123645</v>
      </c>
      <c r="H22" s="727">
        <f>+landbouw!G8</f>
        <v>0</v>
      </c>
      <c r="I22" s="727">
        <f>+landbouw!H8</f>
        <v>0</v>
      </c>
      <c r="J22" s="727">
        <f>+landbouw!I8</f>
        <v>0</v>
      </c>
      <c r="K22" s="727">
        <f>+landbouw!J8</f>
        <v>60.011968995557503</v>
      </c>
      <c r="L22" s="727">
        <f>+landbouw!K8</f>
        <v>0</v>
      </c>
      <c r="M22" s="727">
        <f>+landbouw!L8</f>
        <v>0</v>
      </c>
      <c r="N22" s="727">
        <f>+landbouw!M8</f>
        <v>0</v>
      </c>
      <c r="O22" s="727">
        <f>+landbouw!N8</f>
        <v>0</v>
      </c>
      <c r="P22" s="727">
        <f>+landbouw!O8</f>
        <v>0</v>
      </c>
      <c r="Q22" s="728">
        <f>+landbouw!P8</f>
        <v>0</v>
      </c>
      <c r="R22" s="729">
        <f>SUM(C22:Q22)</f>
        <v>9952.7460710119376</v>
      </c>
      <c r="S22" s="67"/>
    </row>
    <row r="23" spans="1:19" s="474" customFormat="1" ht="17.25" thickTop="1" thickBot="1">
      <c r="A23" s="734" t="s">
        <v>116</v>
      </c>
      <c r="B23" s="864"/>
      <c r="C23" s="735">
        <f ca="1">C20+C15+C22</f>
        <v>56670.586300217932</v>
      </c>
      <c r="D23" s="735">
        <f t="shared" ref="D23:Q23" ca="1" si="2">D20+D15+D22</f>
        <v>0</v>
      </c>
      <c r="E23" s="735">
        <f t="shared" ca="1" si="2"/>
        <v>96248.111869755521</v>
      </c>
      <c r="F23" s="735">
        <f t="shared" si="2"/>
        <v>971.04994762377453</v>
      </c>
      <c r="G23" s="735">
        <f t="shared" ca="1" si="2"/>
        <v>10142.919016885022</v>
      </c>
      <c r="H23" s="735">
        <f t="shared" si="2"/>
        <v>74414.099124069704</v>
      </c>
      <c r="I23" s="735">
        <f t="shared" si="2"/>
        <v>8452.7351294160944</v>
      </c>
      <c r="J23" s="735">
        <f t="shared" si="2"/>
        <v>0</v>
      </c>
      <c r="K23" s="735">
        <f t="shared" si="2"/>
        <v>64.132591986536539</v>
      </c>
      <c r="L23" s="735">
        <f t="shared" si="2"/>
        <v>0</v>
      </c>
      <c r="M23" s="735">
        <f t="shared" ca="1" si="2"/>
        <v>0</v>
      </c>
      <c r="N23" s="735">
        <f t="shared" si="2"/>
        <v>2597.4002594869435</v>
      </c>
      <c r="O23" s="735">
        <f t="shared" ca="1" si="2"/>
        <v>2740.0675781683362</v>
      </c>
      <c r="P23" s="735">
        <f t="shared" si="2"/>
        <v>156.33333333333334</v>
      </c>
      <c r="Q23" s="736">
        <f t="shared" si="2"/>
        <v>152.53333333333333</v>
      </c>
      <c r="R23" s="737">
        <f ca="1">R20+R15+R22</f>
        <v>252609.96848427653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6272.1795052925272</v>
      </c>
      <c r="D36" s="718">
        <f ca="1">tertiair!C20</f>
        <v>0</v>
      </c>
      <c r="E36" s="718">
        <f ca="1">tertiair!D20</f>
        <v>6187.5873620138264</v>
      </c>
      <c r="F36" s="718">
        <f>tertiair!E20</f>
        <v>136.59799073593433</v>
      </c>
      <c r="G36" s="718">
        <f ca="1">tertiair!F20</f>
        <v>2074.8764605941028</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14671.24131863639</v>
      </c>
    </row>
    <row r="37" spans="1:18">
      <c r="A37" s="885" t="s">
        <v>225</v>
      </c>
      <c r="B37" s="892"/>
      <c r="C37" s="718">
        <f ca="1">huishoudens!B12</f>
        <v>5297.6220055000094</v>
      </c>
      <c r="D37" s="718">
        <f ca="1">huishoudens!C12</f>
        <v>0</v>
      </c>
      <c r="E37" s="718">
        <f>huishoudens!D12</f>
        <v>11247.157947849184</v>
      </c>
      <c r="F37" s="718">
        <f>huishoudens!E12</f>
        <v>0</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16544.779953349193</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349.7173541897231</v>
      </c>
      <c r="D39" s="718">
        <f ca="1">industrie!C22</f>
        <v>0</v>
      </c>
      <c r="E39" s="718">
        <f>industrie!D22</f>
        <v>397.01925623670229</v>
      </c>
      <c r="F39" s="718">
        <f>industrie!E22</f>
        <v>50.891494844426497</v>
      </c>
      <c r="G39" s="718">
        <f>industrie!F22</f>
        <v>226.45793383249668</v>
      </c>
      <c r="H39" s="718">
        <f>industrie!G22</f>
        <v>0</v>
      </c>
      <c r="I39" s="718">
        <f>industrie!H22</f>
        <v>0</v>
      </c>
      <c r="J39" s="718">
        <f>industrie!I22</f>
        <v>0</v>
      </c>
      <c r="K39" s="718">
        <f>industrie!J22</f>
        <v>1.4587005388065772</v>
      </c>
      <c r="L39" s="718">
        <f>industrie!K22</f>
        <v>0</v>
      </c>
      <c r="M39" s="718">
        <f>industrie!L22</f>
        <v>0</v>
      </c>
      <c r="N39" s="718">
        <f>industrie!M22</f>
        <v>0</v>
      </c>
      <c r="O39" s="718">
        <f>industrie!N22</f>
        <v>0</v>
      </c>
      <c r="P39" s="718">
        <f>industrie!O22</f>
        <v>0</v>
      </c>
      <c r="Q39" s="828">
        <f>industrie!P22</f>
        <v>0</v>
      </c>
      <c r="R39" s="918">
        <f ca="1">SUM(C39:Q39)</f>
        <v>1025.544739642155</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11919.518864982259</v>
      </c>
      <c r="D41" s="763">
        <f t="shared" ref="D41:R41" ca="1" si="4">SUM(D35:D40)</f>
        <v>0</v>
      </c>
      <c r="E41" s="763">
        <f t="shared" ca="1" si="4"/>
        <v>17831.764566099711</v>
      </c>
      <c r="F41" s="763">
        <f t="shared" si="4"/>
        <v>187.48948558036082</v>
      </c>
      <c r="G41" s="763">
        <f t="shared" ca="1" si="4"/>
        <v>2301.3343944265994</v>
      </c>
      <c r="H41" s="763">
        <f t="shared" si="4"/>
        <v>0</v>
      </c>
      <c r="I41" s="763">
        <f t="shared" si="4"/>
        <v>0</v>
      </c>
      <c r="J41" s="763">
        <f t="shared" si="4"/>
        <v>0</v>
      </c>
      <c r="K41" s="763">
        <f t="shared" si="4"/>
        <v>1.4587005388065772</v>
      </c>
      <c r="L41" s="763">
        <f t="shared" si="4"/>
        <v>0</v>
      </c>
      <c r="M41" s="763">
        <f t="shared" ca="1" si="4"/>
        <v>0</v>
      </c>
      <c r="N41" s="763">
        <f t="shared" si="4"/>
        <v>0</v>
      </c>
      <c r="O41" s="763">
        <f t="shared" ca="1" si="4"/>
        <v>0</v>
      </c>
      <c r="P41" s="763">
        <f t="shared" si="4"/>
        <v>0</v>
      </c>
      <c r="Q41" s="764">
        <f t="shared" si="4"/>
        <v>0</v>
      </c>
      <c r="R41" s="765">
        <f t="shared" ca="1" si="4"/>
        <v>32241.566011627739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170.25994250418222</v>
      </c>
      <c r="D44" s="718">
        <f ca="1">transport!C58</f>
        <v>0</v>
      </c>
      <c r="E44" s="718">
        <f>transport!D58</f>
        <v>0</v>
      </c>
      <c r="F44" s="718">
        <f>transport!E58</f>
        <v>0</v>
      </c>
      <c r="G44" s="718">
        <f>transport!F58</f>
        <v>0</v>
      </c>
      <c r="H44" s="718">
        <f>transport!G58</f>
        <v>43.258098127806889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213.51804063198909</v>
      </c>
    </row>
    <row r="45" spans="1:18" ht="15" thickBot="1">
      <c r="A45" s="888" t="s">
        <v>307</v>
      </c>
      <c r="B45" s="898"/>
      <c r="C45" s="727">
        <f ca="1">transport!B18</f>
        <v>3.1177985696285329</v>
      </c>
      <c r="D45" s="727">
        <f>transport!C18</f>
        <v>0</v>
      </c>
      <c r="E45" s="727">
        <f>transport!D18</f>
        <v>6.1832267377434516</v>
      </c>
      <c r="F45" s="727">
        <f>transport!E18</f>
        <v>30.498801651216489</v>
      </c>
      <c r="G45" s="727">
        <f>transport!F18</f>
        <v>0</v>
      </c>
      <c r="H45" s="727">
        <f>transport!G18</f>
        <v>19825.306367998804</v>
      </c>
      <c r="I45" s="727">
        <f>transport!H18</f>
        <v>2104.7310472246077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21969.837242181999</v>
      </c>
    </row>
    <row r="46" spans="1:18" ht="15.75" thickBot="1">
      <c r="A46" s="886" t="s">
        <v>230</v>
      </c>
      <c r="B46" s="899"/>
      <c r="C46" s="763">
        <f t="shared" ref="C46:R46" ca="1" si="5">SUM(C43:C45)</f>
        <v>173.37774107381074</v>
      </c>
      <c r="D46" s="763">
        <f t="shared" ca="1" si="5"/>
        <v>0</v>
      </c>
      <c r="E46" s="763">
        <f t="shared" si="5"/>
        <v>6.1832267377434516</v>
      </c>
      <c r="F46" s="763">
        <f t="shared" si="5"/>
        <v>30.498801651216489</v>
      </c>
      <c r="G46" s="763">
        <f t="shared" si="5"/>
        <v>0</v>
      </c>
      <c r="H46" s="763">
        <f t="shared" si="5"/>
        <v>19868.564466126612</v>
      </c>
      <c r="I46" s="763">
        <f t="shared" si="5"/>
        <v>2104.7310472246077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22183.355282813987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89.611832728601428</v>
      </c>
      <c r="D48" s="718">
        <f ca="1">+landbouw!C12</f>
        <v>0</v>
      </c>
      <c r="E48" s="718">
        <f>+landbouw!D12</f>
        <v>1604.1708048531625</v>
      </c>
      <c r="F48" s="718">
        <f>+landbouw!E12</f>
        <v>2.4400508790195086</v>
      </c>
      <c r="G48" s="718">
        <f>+landbouw!F12</f>
        <v>406.82498308170136</v>
      </c>
      <c r="H48" s="718">
        <f>+landbouw!G12</f>
        <v>0</v>
      </c>
      <c r="I48" s="718">
        <f>+landbouw!H12</f>
        <v>0</v>
      </c>
      <c r="J48" s="718">
        <f>+landbouw!I12</f>
        <v>0</v>
      </c>
      <c r="K48" s="718">
        <f>+landbouw!J12</f>
        <v>21.244237024427356</v>
      </c>
      <c r="L48" s="718">
        <f>+landbouw!K12</f>
        <v>0</v>
      </c>
      <c r="M48" s="718">
        <f>+landbouw!L12</f>
        <v>0</v>
      </c>
      <c r="N48" s="718">
        <f>+landbouw!M12</f>
        <v>0</v>
      </c>
      <c r="O48" s="718">
        <f>+landbouw!N12</f>
        <v>0</v>
      </c>
      <c r="P48" s="718">
        <f>+landbouw!O12</f>
        <v>0</v>
      </c>
      <c r="Q48" s="719">
        <f>+landbouw!P12</f>
        <v>0</v>
      </c>
      <c r="R48" s="761">
        <f ca="1">SUM(C48:Q48)</f>
        <v>2124.2919085669123</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12182.508438784673</v>
      </c>
      <c r="D53" s="773">
        <f t="shared" ref="D53:Q53" ca="1" si="6">D41+D46+D48</f>
        <v>0</v>
      </c>
      <c r="E53" s="773">
        <f t="shared" ca="1" si="6"/>
        <v>19442.118597690616</v>
      </c>
      <c r="F53" s="773">
        <f t="shared" si="6"/>
        <v>220.42833811059683</v>
      </c>
      <c r="G53" s="773">
        <f t="shared" ca="1" si="6"/>
        <v>2708.1593775083006</v>
      </c>
      <c r="H53" s="773">
        <f t="shared" si="6"/>
        <v>19868.564466126612</v>
      </c>
      <c r="I53" s="773">
        <f t="shared" si="6"/>
        <v>2104.7310472246077</v>
      </c>
      <c r="J53" s="773">
        <f t="shared" si="6"/>
        <v>0</v>
      </c>
      <c r="K53" s="773">
        <f t="shared" si="6"/>
        <v>22.702937563233935</v>
      </c>
      <c r="L53" s="773">
        <f t="shared" si="6"/>
        <v>0</v>
      </c>
      <c r="M53" s="773">
        <f t="shared" ca="1" si="6"/>
        <v>0</v>
      </c>
      <c r="N53" s="773">
        <f t="shared" si="6"/>
        <v>0</v>
      </c>
      <c r="O53" s="773">
        <f t="shared" ca="1" si="6"/>
        <v>0</v>
      </c>
      <c r="P53" s="773">
        <f>P41+P46+P48</f>
        <v>0</v>
      </c>
      <c r="Q53" s="774">
        <f t="shared" si="6"/>
        <v>0</v>
      </c>
      <c r="R53" s="775">
        <f ca="1">R41+R46+R48</f>
        <v>56549.213203008636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0.21497057352197932</v>
      </c>
      <c r="D55" s="836">
        <f t="shared" ca="1" si="7"/>
        <v>0</v>
      </c>
      <c r="E55" s="836">
        <f t="shared" ca="1" si="7"/>
        <v>0.20200000000000001</v>
      </c>
      <c r="F55" s="836">
        <f t="shared" si="7"/>
        <v>0.22700000000000001</v>
      </c>
      <c r="G55" s="836">
        <f t="shared" ca="1" si="7"/>
        <v>0.26699999999999996</v>
      </c>
      <c r="H55" s="836">
        <f t="shared" si="7"/>
        <v>0.26700000000000002</v>
      </c>
      <c r="I55" s="836">
        <f t="shared" si="7"/>
        <v>0.24900000000000003</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1546.1137265316249</v>
      </c>
      <c r="C66" s="795">
        <f>'lokale energieproductie'!B6</f>
        <v>1546.1137265316249</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1546.1137265316249</v>
      </c>
      <c r="C69" s="803">
        <f>SUM(C64:C68)</f>
        <v>1546.1137265316249</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24643.47523805793</v>
      </c>
      <c r="C4" s="478">
        <f>huishoudens!C8</f>
        <v>0</v>
      </c>
      <c r="D4" s="478">
        <f>huishoudens!D8</f>
        <v>55678.99974182764</v>
      </c>
      <c r="E4" s="478">
        <f>huishoudens!E8</f>
        <v>0</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0</v>
      </c>
      <c r="O4" s="478">
        <f>huishoudens!O8</f>
        <v>148.51666666666668</v>
      </c>
      <c r="P4" s="479">
        <f>huishoudens!P8</f>
        <v>152.53333333333333</v>
      </c>
      <c r="Q4" s="480">
        <f>SUM(B4:P4)</f>
        <v>80623.524979885566</v>
      </c>
    </row>
    <row r="5" spans="1:17">
      <c r="A5" s="477" t="s">
        <v>156</v>
      </c>
      <c r="B5" s="478">
        <f ca="1">tertiair!B16</f>
        <v>27612.254299189997</v>
      </c>
      <c r="C5" s="478">
        <f ca="1">tertiair!C16</f>
        <v>0</v>
      </c>
      <c r="D5" s="478">
        <f ca="1">tertiair!D16</f>
        <v>30631.620604028842</v>
      </c>
      <c r="E5" s="478">
        <f>tertiair!E16</f>
        <v>601.75326315389566</v>
      </c>
      <c r="F5" s="478">
        <f ca="1">tertiair!F16</f>
        <v>7771.0728861202351</v>
      </c>
      <c r="G5" s="478">
        <f>tertiair!G16</f>
        <v>0</v>
      </c>
      <c r="H5" s="478">
        <f>tertiair!H16</f>
        <v>0</v>
      </c>
      <c r="I5" s="478">
        <f>tertiair!I16</f>
        <v>0</v>
      </c>
      <c r="J5" s="478">
        <f>tertiair!J16</f>
        <v>0</v>
      </c>
      <c r="K5" s="478">
        <f>tertiair!K16</f>
        <v>0</v>
      </c>
      <c r="L5" s="478">
        <f ca="1">tertiair!L16</f>
        <v>0</v>
      </c>
      <c r="M5" s="478">
        <f>tertiair!M16</f>
        <v>0</v>
      </c>
      <c r="N5" s="478">
        <f ca="1">tertiair!N16</f>
        <v>2298.9103898340691</v>
      </c>
      <c r="O5" s="478">
        <f>tertiair!O16</f>
        <v>7.8166666666666664</v>
      </c>
      <c r="P5" s="479">
        <f>tertiair!P16</f>
        <v>0</v>
      </c>
      <c r="Q5" s="477">
        <f t="shared" ref="Q5:Q13" ca="1" si="0">SUM(B5:P5)</f>
        <v>68923.428108993699</v>
      </c>
    </row>
    <row r="6" spans="1:17">
      <c r="A6" s="477" t="s">
        <v>194</v>
      </c>
      <c r="B6" s="478">
        <f>'openbare verlichting'!B8</f>
        <v>1564.6669999999999</v>
      </c>
      <c r="C6" s="478"/>
      <c r="D6" s="478"/>
      <c r="E6" s="478"/>
      <c r="F6" s="478"/>
      <c r="G6" s="478"/>
      <c r="H6" s="478"/>
      <c r="I6" s="478"/>
      <c r="J6" s="478"/>
      <c r="K6" s="478"/>
      <c r="L6" s="478"/>
      <c r="M6" s="478"/>
      <c r="N6" s="478"/>
      <c r="O6" s="478"/>
      <c r="P6" s="479"/>
      <c r="Q6" s="477">
        <f t="shared" si="0"/>
        <v>1564.6669999999999</v>
      </c>
    </row>
    <row r="7" spans="1:17">
      <c r="A7" s="477" t="s">
        <v>112</v>
      </c>
      <c r="B7" s="478">
        <f>landbouw!B8</f>
        <v>416.85627600300006</v>
      </c>
      <c r="C7" s="478">
        <f>landbouw!C8</f>
        <v>0</v>
      </c>
      <c r="D7" s="478">
        <f>landbouw!D8</f>
        <v>7941.439627985952</v>
      </c>
      <c r="E7" s="478">
        <f>landbouw!E8</f>
        <v>10.749122815063915</v>
      </c>
      <c r="F7" s="478">
        <f>landbouw!F8</f>
        <v>1523.6890752123645</v>
      </c>
      <c r="G7" s="478">
        <f>landbouw!G8</f>
        <v>0</v>
      </c>
      <c r="H7" s="478">
        <f>landbouw!H8</f>
        <v>0</v>
      </c>
      <c r="I7" s="478">
        <f>landbouw!I8</f>
        <v>0</v>
      </c>
      <c r="J7" s="478">
        <f>landbouw!J8</f>
        <v>60.011968995557503</v>
      </c>
      <c r="K7" s="478">
        <f>landbouw!K8</f>
        <v>0</v>
      </c>
      <c r="L7" s="478">
        <f>landbouw!L8</f>
        <v>0</v>
      </c>
      <c r="M7" s="478">
        <f>landbouw!M8</f>
        <v>0</v>
      </c>
      <c r="N7" s="478">
        <f>landbouw!N8</f>
        <v>0</v>
      </c>
      <c r="O7" s="478">
        <f>landbouw!O8</f>
        <v>0</v>
      </c>
      <c r="P7" s="479">
        <f>landbouw!P8</f>
        <v>0</v>
      </c>
      <c r="Q7" s="477">
        <f t="shared" si="0"/>
        <v>9952.7460710119376</v>
      </c>
    </row>
    <row r="8" spans="1:17">
      <c r="A8" s="477" t="s">
        <v>638</v>
      </c>
      <c r="B8" s="478">
        <f>industrie!B18</f>
        <v>1626.8150029099997</v>
      </c>
      <c r="C8" s="478">
        <f>industrie!C18</f>
        <v>0</v>
      </c>
      <c r="D8" s="478">
        <f>industrie!D18</f>
        <v>1965.4418625579319</v>
      </c>
      <c r="E8" s="478">
        <f>industrie!E18</f>
        <v>224.19160724416957</v>
      </c>
      <c r="F8" s="478">
        <f>industrie!F18</f>
        <v>848.15705555242198</v>
      </c>
      <c r="G8" s="478">
        <f>industrie!G18</f>
        <v>0</v>
      </c>
      <c r="H8" s="478">
        <f>industrie!H18</f>
        <v>0</v>
      </c>
      <c r="I8" s="478">
        <f>industrie!I18</f>
        <v>0</v>
      </c>
      <c r="J8" s="478">
        <f>industrie!J18</f>
        <v>4.1206229909790322</v>
      </c>
      <c r="K8" s="478">
        <f>industrie!K18</f>
        <v>0</v>
      </c>
      <c r="L8" s="478">
        <f>industrie!L18</f>
        <v>0</v>
      </c>
      <c r="M8" s="478">
        <f>industrie!M18</f>
        <v>0</v>
      </c>
      <c r="N8" s="478">
        <f>industrie!N18</f>
        <v>441.15718833426706</v>
      </c>
      <c r="O8" s="478">
        <f>industrie!O18</f>
        <v>0</v>
      </c>
      <c r="P8" s="479">
        <f>industrie!P18</f>
        <v>0</v>
      </c>
      <c r="Q8" s="477">
        <f t="shared" si="0"/>
        <v>5109.8833395897691</v>
      </c>
    </row>
    <row r="9" spans="1:17" s="483" customFormat="1">
      <c r="A9" s="481" t="s">
        <v>564</v>
      </c>
      <c r="B9" s="482">
        <f>transport!B14</f>
        <v>14.503373734125329</v>
      </c>
      <c r="C9" s="482">
        <f>transport!C14</f>
        <v>0</v>
      </c>
      <c r="D9" s="482">
        <f>transport!D14</f>
        <v>30.610033355165601</v>
      </c>
      <c r="E9" s="482">
        <f>transport!E14</f>
        <v>134.35595441064532</v>
      </c>
      <c r="F9" s="482">
        <f>transport!F14</f>
        <v>0</v>
      </c>
      <c r="G9" s="482">
        <f>transport!G14</f>
        <v>74252.08377527642</v>
      </c>
      <c r="H9" s="482">
        <f>transport!H14</f>
        <v>8452.7351294160944</v>
      </c>
      <c r="I9" s="482">
        <f>transport!I14</f>
        <v>0</v>
      </c>
      <c r="J9" s="482">
        <f>transport!J14</f>
        <v>0</v>
      </c>
      <c r="K9" s="482">
        <f>transport!K14</f>
        <v>0</v>
      </c>
      <c r="L9" s="482">
        <f>transport!L14</f>
        <v>0</v>
      </c>
      <c r="M9" s="482">
        <f>transport!M14</f>
        <v>2592.374905825212</v>
      </c>
      <c r="N9" s="482">
        <f>transport!N14</f>
        <v>0</v>
      </c>
      <c r="O9" s="482">
        <f>transport!O14</f>
        <v>0</v>
      </c>
      <c r="P9" s="482">
        <f>transport!P14</f>
        <v>0</v>
      </c>
      <c r="Q9" s="481">
        <f>SUM(B9:P9)</f>
        <v>85476.663172017667</v>
      </c>
    </row>
    <row r="10" spans="1:17">
      <c r="A10" s="477" t="s">
        <v>554</v>
      </c>
      <c r="B10" s="478">
        <f>transport!B54</f>
        <v>792.01511032287522</v>
      </c>
      <c r="C10" s="478">
        <f>transport!C54</f>
        <v>0</v>
      </c>
      <c r="D10" s="478">
        <f>transport!D54</f>
        <v>0</v>
      </c>
      <c r="E10" s="478">
        <f>transport!E54</f>
        <v>0</v>
      </c>
      <c r="F10" s="478">
        <f>transport!F54</f>
        <v>0</v>
      </c>
      <c r="G10" s="478">
        <f>transport!G54</f>
        <v>162.01534879328423</v>
      </c>
      <c r="H10" s="478">
        <f>transport!H54</f>
        <v>0</v>
      </c>
      <c r="I10" s="478">
        <f>transport!I54</f>
        <v>0</v>
      </c>
      <c r="J10" s="478">
        <f>transport!J54</f>
        <v>0</v>
      </c>
      <c r="K10" s="478">
        <f>transport!K54</f>
        <v>0</v>
      </c>
      <c r="L10" s="478">
        <f>transport!L54</f>
        <v>0</v>
      </c>
      <c r="M10" s="478">
        <f>transport!M54</f>
        <v>5.025353661731355</v>
      </c>
      <c r="N10" s="478">
        <f>transport!N54</f>
        <v>0</v>
      </c>
      <c r="O10" s="478">
        <f>transport!O54</f>
        <v>0</v>
      </c>
      <c r="P10" s="479">
        <f>transport!P54</f>
        <v>0</v>
      </c>
      <c r="Q10" s="477">
        <f t="shared" si="0"/>
        <v>959.05581277789088</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56670.586300217932</v>
      </c>
      <c r="C14" s="488">
        <f t="shared" ref="C14:Q14" ca="1" si="1">SUM(C4:C13)</f>
        <v>0</v>
      </c>
      <c r="D14" s="488">
        <f t="shared" ca="1" si="1"/>
        <v>96248.111869755521</v>
      </c>
      <c r="E14" s="488">
        <f t="shared" si="1"/>
        <v>971.04994762377464</v>
      </c>
      <c r="F14" s="488">
        <f t="shared" ca="1" si="1"/>
        <v>10142.91901688502</v>
      </c>
      <c r="G14" s="488">
        <f t="shared" si="1"/>
        <v>74414.099124069704</v>
      </c>
      <c r="H14" s="488">
        <f t="shared" si="1"/>
        <v>8452.7351294160944</v>
      </c>
      <c r="I14" s="488">
        <f t="shared" si="1"/>
        <v>0</v>
      </c>
      <c r="J14" s="488">
        <f t="shared" si="1"/>
        <v>64.132591986536539</v>
      </c>
      <c r="K14" s="488">
        <f t="shared" si="1"/>
        <v>0</v>
      </c>
      <c r="L14" s="488">
        <f t="shared" ca="1" si="1"/>
        <v>0</v>
      </c>
      <c r="M14" s="488">
        <f t="shared" si="1"/>
        <v>2597.4002594869435</v>
      </c>
      <c r="N14" s="488">
        <f t="shared" ca="1" si="1"/>
        <v>2740.0675781683362</v>
      </c>
      <c r="O14" s="488">
        <f t="shared" si="1"/>
        <v>156.33333333333334</v>
      </c>
      <c r="P14" s="489">
        <f t="shared" si="1"/>
        <v>152.53333333333333</v>
      </c>
      <c r="Q14" s="489">
        <f t="shared" ca="1" si="1"/>
        <v>252609.96848427653</v>
      </c>
    </row>
    <row r="16" spans="1:17">
      <c r="A16" s="491" t="s">
        <v>559</v>
      </c>
      <c r="B16" s="841">
        <f ca="1">huishoudens!B10</f>
        <v>0.21497057352197932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5297.6220055000094</v>
      </c>
      <c r="C21" s="478">
        <f t="shared" ref="C21:C30" ca="1" si="3">C4*$C$16</f>
        <v>0</v>
      </c>
      <c r="D21" s="478">
        <f t="shared" ref="D21:D30" si="4">D4*$D$16</f>
        <v>11247.157947849184</v>
      </c>
      <c r="E21" s="478">
        <f t="shared" ref="E21:E30" si="5">E4*$E$16</f>
        <v>0</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16544.779953349193</v>
      </c>
    </row>
    <row r="22" spans="1:17">
      <c r="A22" s="477" t="s">
        <v>156</v>
      </c>
      <c r="B22" s="478">
        <f t="shared" ca="1" si="2"/>
        <v>5935.8221429316127</v>
      </c>
      <c r="C22" s="478">
        <f t="shared" ca="1" si="3"/>
        <v>0</v>
      </c>
      <c r="D22" s="478">
        <f t="shared" ca="1" si="4"/>
        <v>6187.5873620138264</v>
      </c>
      <c r="E22" s="478">
        <f t="shared" si="5"/>
        <v>136.59799073593433</v>
      </c>
      <c r="F22" s="478">
        <f t="shared" ca="1" si="6"/>
        <v>2074.8764605941028</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14334.883956275477</v>
      </c>
    </row>
    <row r="23" spans="1:17">
      <c r="A23" s="477" t="s">
        <v>194</v>
      </c>
      <c r="B23" s="478">
        <f t="shared" ca="1" si="2"/>
        <v>336.35736236091481</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336.35736236091481</v>
      </c>
    </row>
    <row r="24" spans="1:17">
      <c r="A24" s="477" t="s">
        <v>112</v>
      </c>
      <c r="B24" s="478">
        <f t="shared" ca="1" si="2"/>
        <v>89.611832728601428</v>
      </c>
      <c r="C24" s="478">
        <f t="shared" ca="1" si="3"/>
        <v>0</v>
      </c>
      <c r="D24" s="478">
        <f t="shared" si="4"/>
        <v>1604.1708048531625</v>
      </c>
      <c r="E24" s="478">
        <f t="shared" si="5"/>
        <v>2.4400508790195086</v>
      </c>
      <c r="F24" s="478">
        <f t="shared" si="6"/>
        <v>406.82498308170136</v>
      </c>
      <c r="G24" s="478">
        <f t="shared" si="7"/>
        <v>0</v>
      </c>
      <c r="H24" s="478">
        <f t="shared" si="8"/>
        <v>0</v>
      </c>
      <c r="I24" s="478">
        <f t="shared" si="9"/>
        <v>0</v>
      </c>
      <c r="J24" s="478">
        <f t="shared" si="10"/>
        <v>21.244237024427356</v>
      </c>
      <c r="K24" s="478">
        <f t="shared" si="11"/>
        <v>0</v>
      </c>
      <c r="L24" s="478">
        <f t="shared" si="12"/>
        <v>0</v>
      </c>
      <c r="M24" s="478">
        <f t="shared" si="13"/>
        <v>0</v>
      </c>
      <c r="N24" s="478">
        <f t="shared" si="14"/>
        <v>0</v>
      </c>
      <c r="O24" s="478">
        <f t="shared" si="15"/>
        <v>0</v>
      </c>
      <c r="P24" s="479">
        <f t="shared" si="16"/>
        <v>0</v>
      </c>
      <c r="Q24" s="477">
        <f t="shared" ca="1" si="17"/>
        <v>2124.2919085669123</v>
      </c>
    </row>
    <row r="25" spans="1:17">
      <c r="A25" s="477" t="s">
        <v>638</v>
      </c>
      <c r="B25" s="478">
        <f t="shared" ca="1" si="2"/>
        <v>349.7173541897231</v>
      </c>
      <c r="C25" s="478">
        <f t="shared" ca="1" si="3"/>
        <v>0</v>
      </c>
      <c r="D25" s="478">
        <f t="shared" si="4"/>
        <v>397.01925623670229</v>
      </c>
      <c r="E25" s="478">
        <f t="shared" si="5"/>
        <v>50.891494844426497</v>
      </c>
      <c r="F25" s="478">
        <f t="shared" si="6"/>
        <v>226.45793383249668</v>
      </c>
      <c r="G25" s="478">
        <f t="shared" si="7"/>
        <v>0</v>
      </c>
      <c r="H25" s="478">
        <f t="shared" si="8"/>
        <v>0</v>
      </c>
      <c r="I25" s="478">
        <f t="shared" si="9"/>
        <v>0</v>
      </c>
      <c r="J25" s="478">
        <f t="shared" si="10"/>
        <v>1.4587005388065772</v>
      </c>
      <c r="K25" s="478">
        <f t="shared" si="11"/>
        <v>0</v>
      </c>
      <c r="L25" s="478">
        <f t="shared" si="12"/>
        <v>0</v>
      </c>
      <c r="M25" s="478">
        <f t="shared" si="13"/>
        <v>0</v>
      </c>
      <c r="N25" s="478">
        <f t="shared" si="14"/>
        <v>0</v>
      </c>
      <c r="O25" s="478">
        <f t="shared" si="15"/>
        <v>0</v>
      </c>
      <c r="P25" s="479">
        <f t="shared" si="16"/>
        <v>0</v>
      </c>
      <c r="Q25" s="477">
        <f t="shared" ca="1" si="17"/>
        <v>1025.544739642155</v>
      </c>
    </row>
    <row r="26" spans="1:17" s="483" customFormat="1">
      <c r="A26" s="481" t="s">
        <v>564</v>
      </c>
      <c r="B26" s="835">
        <f t="shared" ca="1" si="2"/>
        <v>3.1177985696285329</v>
      </c>
      <c r="C26" s="482">
        <f t="shared" ca="1" si="3"/>
        <v>0</v>
      </c>
      <c r="D26" s="482">
        <f t="shared" si="4"/>
        <v>6.1832267377434516</v>
      </c>
      <c r="E26" s="482">
        <f t="shared" si="5"/>
        <v>30.498801651216489</v>
      </c>
      <c r="F26" s="482">
        <f t="shared" si="6"/>
        <v>0</v>
      </c>
      <c r="G26" s="482">
        <f t="shared" si="7"/>
        <v>19825.306367998804</v>
      </c>
      <c r="H26" s="482">
        <f t="shared" si="8"/>
        <v>2104.7310472246077</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21969.837242181999</v>
      </c>
    </row>
    <row r="27" spans="1:17">
      <c r="A27" s="477" t="s">
        <v>554</v>
      </c>
      <c r="B27" s="478">
        <f t="shared" ca="1" si="2"/>
        <v>170.25994250418222</v>
      </c>
      <c r="C27" s="478">
        <f t="shared" ca="1" si="3"/>
        <v>0</v>
      </c>
      <c r="D27" s="478">
        <f t="shared" si="4"/>
        <v>0</v>
      </c>
      <c r="E27" s="478">
        <f t="shared" si="5"/>
        <v>0</v>
      </c>
      <c r="F27" s="478">
        <f t="shared" si="6"/>
        <v>0</v>
      </c>
      <c r="G27" s="478">
        <f t="shared" si="7"/>
        <v>43.258098127806889</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213.51804063198909</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12182.508438784675</v>
      </c>
      <c r="C31" s="488">
        <f t="shared" ca="1" si="18"/>
        <v>0</v>
      </c>
      <c r="D31" s="488">
        <f t="shared" ca="1" si="18"/>
        <v>19442.118597690616</v>
      </c>
      <c r="E31" s="488">
        <f t="shared" si="18"/>
        <v>220.42833811059683</v>
      </c>
      <c r="F31" s="488">
        <f t="shared" ca="1" si="18"/>
        <v>2708.1593775083006</v>
      </c>
      <c r="G31" s="488">
        <f t="shared" si="18"/>
        <v>19868.564466126612</v>
      </c>
      <c r="H31" s="488">
        <f t="shared" si="18"/>
        <v>2104.7310472246077</v>
      </c>
      <c r="I31" s="488">
        <f t="shared" si="18"/>
        <v>0</v>
      </c>
      <c r="J31" s="488">
        <f t="shared" si="18"/>
        <v>22.702937563233935</v>
      </c>
      <c r="K31" s="488">
        <f t="shared" si="18"/>
        <v>0</v>
      </c>
      <c r="L31" s="488">
        <f t="shared" ca="1" si="18"/>
        <v>0</v>
      </c>
      <c r="M31" s="488">
        <f t="shared" si="18"/>
        <v>0</v>
      </c>
      <c r="N31" s="488">
        <f t="shared" ca="1" si="18"/>
        <v>0</v>
      </c>
      <c r="O31" s="488">
        <f t="shared" si="18"/>
        <v>0</v>
      </c>
      <c r="P31" s="489">
        <f t="shared" si="18"/>
        <v>0</v>
      </c>
      <c r="Q31" s="489">
        <f t="shared" ca="1" si="18"/>
        <v>56549.213203008643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0.21497057352197932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0.21497057352197932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0.21497057352197932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2018-06-27T09:43:17Z</dcterms:modified>
</cp:coreProperties>
</file>