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C16" s="1"/>
  <c r="D10" i="14" s="1"/>
  <c r="L6" i="17"/>
  <c r="L5" s="1"/>
  <c r="B8" i="9"/>
  <c r="B6" i="48" s="1"/>
  <c r="Q6"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I31"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12" i="17"/>
  <c r="F48" i="14" s="1"/>
  <c r="C5" i="48"/>
  <c r="P41" i="14" l="1"/>
  <c r="P53" s="1"/>
  <c r="N7" i="48"/>
  <c r="N24" s="1"/>
  <c r="G14" i="22"/>
  <c r="H14"/>
  <c r="I19" i="14" s="1"/>
  <c r="I20" s="1"/>
  <c r="I23" s="1"/>
  <c r="I14" i="48"/>
  <c r="P13" i="14"/>
  <c r="P15" s="1"/>
  <c r="P23" s="1"/>
  <c r="P55" s="1"/>
  <c r="E7" i="48"/>
  <c r="E24" s="1"/>
  <c r="D8"/>
  <c r="D25" s="1"/>
  <c r="E20" i="15"/>
  <c r="F36" i="14"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M18" i="22"/>
  <c r="N45" i="14" s="1"/>
  <c r="M9" i="48"/>
  <c r="N19" i="14"/>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29" i="20" s="1"/>
  <c r="J5" i="48"/>
  <c r="J22" s="1"/>
  <c r="J20" i="15"/>
  <c r="K36" i="14" s="1"/>
  <c r="M16" i="18"/>
  <c r="M19" s="1"/>
  <c r="N20" i="14"/>
  <c r="N23"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7" i="49"/>
  <c r="F22" i="16"/>
  <c r="G39" i="14" s="1"/>
  <c r="G41" s="1"/>
  <c r="F8" i="48"/>
  <c r="Q4"/>
  <c r="N22"/>
  <c r="R11" i="14"/>
  <c r="J21" i="48"/>
  <c r="R10" i="14"/>
  <c r="C56" i="22" l="1"/>
  <c r="C58" s="1"/>
  <c r="D44" i="14" s="1"/>
  <c r="D46" s="1"/>
  <c r="C10" i="17"/>
  <c r="C12" s="1"/>
  <c r="D48" i="14" s="1"/>
  <c r="Q5" i="48"/>
  <c r="C16" i="22"/>
  <c r="O13" i="14"/>
  <c r="O15" s="1"/>
  <c r="C10" i="13"/>
  <c r="C16" i="48" s="1"/>
  <c r="C30" s="1"/>
  <c r="C18" i="15"/>
  <c r="C20" s="1"/>
  <c r="D36" i="14" s="1"/>
  <c r="N22" i="16"/>
  <c r="O39" i="14" s="1"/>
  <c r="O41" s="1"/>
  <c r="C20" i="16"/>
  <c r="C22" s="1"/>
  <c r="D39" i="14" s="1"/>
  <c r="K41"/>
  <c r="K53" s="1"/>
  <c r="C17" i="19"/>
  <c r="C19" s="1"/>
  <c r="D35" i="14" s="1"/>
  <c r="N25" i="48"/>
  <c r="N31" s="1"/>
  <c r="N14"/>
  <c r="E25"/>
  <c r="E31" s="1"/>
  <c r="E14"/>
  <c r="K13" i="14"/>
  <c r="K15" s="1"/>
  <c r="K23" s="1"/>
  <c r="H55"/>
  <c r="E55"/>
  <c r="C78"/>
  <c r="C81" s="1"/>
  <c r="J14" i="48"/>
  <c r="J31"/>
  <c r="Q8"/>
  <c r="R19" i="14"/>
  <c r="R20" s="1"/>
  <c r="H14" i="48"/>
  <c r="G31"/>
  <c r="H26"/>
  <c r="H31" s="1"/>
  <c r="F55" i="14"/>
  <c r="O53"/>
  <c r="G53"/>
  <c r="G55" s="1"/>
  <c r="O69" s="1"/>
  <c r="B9" i="6" s="1"/>
  <c r="B12" s="1"/>
  <c r="M53" i="14"/>
  <c r="M55" s="1"/>
  <c r="C24" i="48"/>
  <c r="C27"/>
  <c r="C28"/>
  <c r="C22"/>
  <c r="C25"/>
  <c r="C29"/>
  <c r="K55" i="14"/>
  <c r="R13"/>
  <c r="R15" s="1"/>
  <c r="F25" i="48"/>
  <c r="F31" s="1"/>
  <c r="F14"/>
  <c r="Q14" l="1"/>
  <c r="C21"/>
  <c r="C12" i="13"/>
  <c r="D37" i="14" s="1"/>
  <c r="D41" s="1"/>
  <c r="D53" s="1"/>
  <c r="D55"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C31" i="48"/>
  <c r="O23" i="14"/>
  <c r="O55" s="1"/>
  <c r="R37" l="1"/>
  <c r="B16" i="48"/>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<sst xmlns="http://schemas.openxmlformats.org/spreadsheetml/2006/main" count="1933" uniqueCount="824">
  <si>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</si>
  <si>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</si>
  <si>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</si>
  <si>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</si>
  <si>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</si>
  <si>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</si>
  <si>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</si>
  <si>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</si>
  <si>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</si>
  <si>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</si>
  <si>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</si>
  <si>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</si>
  <si>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</si>
  <si>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</si>
  <si>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</si>
  <si>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</si>
  <si>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</si>
  <si>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</si>
  <si>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</si>
  <si>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</si>
  <si>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</si>
  <si>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</si>
  <si>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</si>
  <si>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</si>
  <si>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</si>
  <si>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</si>
  <si>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</si>
  <si>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</si>
  <si>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</si>
  <si>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</si>
  <si>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</si>
  <si>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</si>
  <si>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</si>
  <si>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</si>
  <si>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</si>
  <si>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</si>
  <si>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</si>
  <si>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</si>
  <si>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</si>
  <si>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</si>
  <si>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</si>
  <si>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</si>
  <si>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</si>
  <si>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</si>
  <si>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</si>
  <si>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</si>
  <si>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</si>
  <si>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</si>
  <si>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</si>
  <si>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</si>
  <si>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</si>
  <si>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</si>
  <si>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</si>
  <si>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</si>
  <si>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</si>
  <si>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</si>
  <si>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</si>
  <si>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</si>
  <si>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</si>
  <si>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</si>
  <si>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</si>
  <si>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</si>
  <si>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</si>
  <si>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</si>
  <si>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</si>
  <si>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</si>
  <si>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</si>
  <si>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</si>
  <si>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</si>
  <si>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</si>
  <si>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</si>
  <si>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</si>
  <si>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</si>
  <si>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</si>
  <si>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</si>
  <si>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</si>
  <si>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</si>
  <si>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</si>
  <si>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</si>
  <si>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</si>
  <si>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</si>
  <si>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</si>
  <si>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</si>
  <si>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</si>
  <si>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</si>
  <si>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</si>
  <si>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</si>
  <si>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</si>
  <si>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</si>
  <si>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</si>
  <si>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</si>
  <si>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</si>
  <si>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</si>
  <si>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</si>
  <si>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</si>
  <si>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</si>
  <si>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</si>
  <si>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</si>
  <si>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</si>
  <si>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</si>
  <si>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</si>
  <si>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</si>
  <si>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</si>
  <si>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</si>
  <si>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</si>
  <si>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</si>
  <si>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</si>
  <si>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</si>
  <si>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</si>
  <si>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</si>
  <si>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</si>
  <si>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</si>
  <si>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</si>
  <si>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</si>
  <si>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</si>
  <si>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</si>
  <si>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</si>
  <si>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</si>
  <si>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</si>
  <si>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</si>
  <si>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</si>
  <si>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</si>
  <si>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</si>
  <si>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</si>
  <si>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</si>
  <si>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</si>
  <si>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</si>
  <si>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</si>
  <si>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</si>
  <si>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</si>
  <si>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</si>
  <si>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</si>
  <si>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</si>
  <si>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</si>
  <si>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</si>
  <si>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</si>
  <si>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</si>
  <si>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</si>
  <si>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</si>
  <si>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</si>
  <si>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</si>
  <si>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</si>
  <si>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</si>
  <si>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</si>
  <si>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</si>
  <si>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</si>
  <si>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</si>
  <si>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</si>
  <si>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</si>
  <si>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</si>
  <si>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</si>
  <si>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</si>
  <si>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</si>
  <si>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</si>
  <si>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</si>
  <si>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</si>
  <si>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</si>
  <si>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</si>
  <si>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</si>
  <si>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</si>
  <si>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</si>
  <si>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</si>
  <si>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</si>
  <si>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</si>
  <si>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</si>
  <si>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</si>
  <si>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</si>
  <si>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</si>
  <si>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</si>
  <si>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</si>
  <si>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</si>
  <si>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</si>
  <si>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</si>
  <si>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</si>
  <si>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</si>
  <si>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</si>
  <si>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</si>
  <si>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</si>
  <si>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</si>
  <si>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</si>
  <si>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</si>
  <si>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</si>
  <si>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</si>
  <si>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</si>
  <si>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</si>
  <si>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</si>
  <si>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</si>
  <si>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</si>
  <si>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</si>
  <si>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</si>
  <si>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</si>
  <si>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</si>
  <si>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</si>
  <si>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</si>
  <si>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</si>
  <si>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</si>
  <si>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</si>
  <si>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</si>
  <si>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</si>
  <si>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</si>
  <si>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</si>
  <si>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</si>
  <si>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</si>
  <si>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</si>
  <si>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</si>
  <si>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</si>
  <si>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</si>
  <si>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</si>
  <si>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</si>
  <si>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</si>
  <si>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</si>
  <si>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</si>
  <si>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</si>
  <si>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</si>
  <si>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</si>
  <si>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</si>
  <si>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</si>
  <si>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</si>
  <si>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</si>
  <si>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</si>
  <si>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</si>
  <si>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</si>
  <si>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</si>
  <si>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</si>
  <si>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</si>
  <si>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</si>
  <si>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</si>
  <si>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</si>
  <si>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</si>
  <si>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</si>
  <si>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</si>
  <si>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</si>
  <si>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</si>
  <si>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</si>
  <si>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</si>
  <si>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</si>
  <si>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</si>
  <si>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</si>
  <si>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</si>
  <si>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</si>
  <si>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</si>
  <si>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</si>
  <si>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</si>
  <si>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</si>
  <si>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</si>
  <si>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</si>
  <si>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</si>
  <si>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</si>
  <si>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</si>
  <si>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</si>
  <si>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</si>
  <si>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</si>
  <si>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</si>
  <si>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</si>
  <si>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</si>
  <si>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</si>
  <si>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</si>
  <si>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</si>
  <si>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</si>
  <si>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</si>
  <si>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</si>
  <si>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</si>
  <si>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</si>
  <si>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</si>
  <si>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</si>
  <si>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</si>
  <si>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</si>
  <si>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</si>
  <si>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</si>
  <si>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</si>
  <si>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</si>
  <si>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</si>
  <si>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</si>
  <si>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</si>
  <si>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</si>
  <si>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</si>
  <si>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</si>
  <si>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</si>
  <si>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</si>
  <si>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</si>
  <si>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</si>
  <si>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</si>
  <si>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</si>
  <si>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</si>
  <si>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</si>
  <si>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</si>
  <si>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</si>
  <si>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</si>
  <si>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</si>
  <si>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</si>
  <si>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</si>
  <si>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</si>
  <si>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</si>
  <si>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</si>
  <si>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</si>
  <si>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</si>
  <si>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</si>
  <si>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</si>
  <si>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</si>
  <si>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</si>
  <si>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</si>
  <si>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</si>
  <si>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</si>
  <si>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</si>
  <si>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</si>
  <si>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</si>
  <si>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</si>
  <si>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</si>
  <si>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</si>
  <si>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</si>
  <si>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</si>
  <si>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</si>
  <si>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</si>
  <si>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</si>
  <si>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</si>
  <si>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</si>
  <si>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</si>
  <si>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</si>
  <si>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</si>
  <si>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</si>
  <si>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</si>
  <si>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</si>
  <si>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</si>
  <si>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</si>
  <si>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</si>
  <si>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</si>
  <si>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</si>
  <si>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</si>
  <si>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</si>
  <si>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</si>
  <si>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</si>
  <si>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</si>
  <si>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</si>
  <si>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</si>
  <si>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</si>
  <si>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</si>
  <si>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</si>
  <si>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</si>
  <si>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</si>
  <si>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</si>
  <si>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</si>
  <si>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</si>
  <si>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</si>
  <si>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</si>
  <si>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</si>
  <si>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</si>
  <si>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</si>
  <si>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</si>
  <si>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</si>
  <si>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</si>
  <si>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</si>
  <si>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</si>
  <si>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</si>
  <si>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</si>
  <si>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</si>
  <si>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</si>
  <si>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</si>
  <si>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</si>
  <si>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</si>
  <si>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</si>
  <si>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</si>
  <si>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</si>
  <si>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</si>
  <si>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</si>
  <si>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</si>
  <si>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</si>
  <si>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</si>
  <si>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</si>
  <si>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</si>
  <si>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</si>
  <si>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</si>
  <si>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</si>
  <si>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</si>
  <si>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</si>
  <si>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</si>
  <si>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</si>
  <si>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</si>
  <si>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</si>
  <si>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</si>
  <si>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</si>
  <si>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</si>
  <si>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</si>
  <si>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</si>
  <si>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</si>
  <si>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</si>
  <si>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</si>
  <si>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</si>
  <si>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</si>
  <si>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</si>
  <si>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</si>
  <si>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</si>
  <si>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</si>
  <si>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</si>
  <si>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</si>
  <si>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</si>
  <si>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</si>
  <si>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</si>
  <si>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</si>
  <si>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</si>
  <si>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</si>
  <si>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</si>
  <si>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</si>
  <si>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</si>
  <si>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</si>
  <si>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</si>
  <si>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</si>
  <si>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</si>
  <si>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</si>
  <si>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</si>
  <si>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</si>
  <si>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</si>
  <si>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</si>
  <si>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</si>
  <si>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</si>
  <si>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</si>
  <si>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</si>
  <si>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</si>
  <si>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</si>
  <si>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</si>
  <si>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</si>
  <si>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</si>
  <si>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</si>
  <si>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</si>
  <si>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</si>
  <si>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</si>
  <si>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</si>
  <si>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</si>
  <si>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</si>
  <si>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</si>
  <si>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</si>
  <si>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</si>
  <si>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</si>
  <si>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</si>
  <si>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</si>
  <si>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</si>
  <si>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</si>
  <si>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</si>
  <si>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</si>
  <si>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</si>
  <si>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</si>
  <si>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</si>
  <si>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</si>
  <si>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</si>
  <si>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</si>
  <si>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</si>
  <si>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</si>
  <si>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</si>
  <si>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</si>
  <si>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</si>
  <si>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</si>
  <si>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</si>
  <si>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</si>
  <si>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</si>
  <si>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</si>
  <si>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</si>
  <si>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</si>
  <si>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</si>
  <si>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</si>
  <si>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</si>
  <si>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</si>
  <si>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</si>
  <si>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</si>
  <si>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</si>
  <si>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</si>
  <si>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</si>
  <si>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</si>
  <si>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</si>
  <si>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</si>
  <si>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</si>
  <si>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</si>
  <si>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</si>
  <si>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</si>
  <si>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</si>
  <si>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</si>
  <si>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</si>
  <si>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</si>
  <si>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</si>
  <si>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</si>
  <si>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</si>
  <si>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</si>
  <si>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</si>
  <si>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</si>
  <si>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</si>
  <si>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</si>
  <si>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</si>
  <si>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</si>
  <si>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</si>
  <si>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</si>
  <si>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</si>
  <si>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</si>
  <si>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</si>
  <si>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</si>
  <si>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</si>
  <si>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</si>
  <si>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</si>
  <si>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</si>
  <si>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</si>
  <si>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</si>
  <si>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</si>
  <si>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</si>
  <si>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</si>
  <si>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</si>
  <si>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</si>
  <si>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</si>
  <si>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</si>
  <si>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</si>
  <si>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</si>
  <si>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</si>
  <si>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</si>
  <si>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</si>
  <si>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</si>
  <si>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</si>
  <si>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</si>
  <si>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</si>
  <si>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</si>
  <si>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</si>
  <si>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</si>
  <si>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</si>
  <si>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</si>
  <si>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</si>
  <si>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</si>
  <si>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</si>
  <si>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</si>
  <si>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</si>
  <si>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</si>
  <si>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</si>
  <si>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</si>
  <si>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</si>
  <si>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</si>
  <si>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</si>
  <si>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</si>
  <si>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</si>
  <si>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</si>
  <si>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</si>
  <si>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</si>
  <si>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</si>
  <si>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</si>
  <si>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</si>
  <si>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</si>
  <si>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</si>
  <si>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</si>
  <si>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</si>
  <si>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</si>
  <si>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</si>
  <si>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</si>
  <si>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</si>
  <si>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</si>
  <si>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</si>
  <si>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</si>
  <si>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</si>
  <si>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</si>
  <si>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</si>
  <si>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</si>
  <si>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</si>
  <si>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</si>
  <si>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</si>
  <si>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</si>
  <si>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</si>
  <si>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</si>
  <si>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</si>
  <si>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</si>
  <si>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</si>
  <si>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</si>
  <si>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</si>
  <si>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</si>
  <si>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</si>
  <si>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</si>
  <si>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</si>
  <si>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</si>
  <si>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</si>
  <si>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</si>
  <si>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</si>
  <si>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</si>
  <si>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</si>
  <si>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</si>
  <si>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</si>
  <si>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</si>
  <si>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</si>
  <si>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</si>
  <si>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</si>
  <si>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</si>
  <si>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</si>
  <si>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</si>
  <si>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</si>
  <si>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</si>
  <si>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</si>
  <si>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</si>
  <si>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</si>
  <si>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</si>
  <si>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</si>
  <si>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</si>
  <si>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</si>
  <si>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</si>
  <si>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</si>
  <si>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</si>
  <si>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</si>
  <si>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</si>
  <si>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</si>
  <si>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</si>
  <si>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</si>
  <si>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</si>
  <si>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</si>
  <si>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</si>
  <si>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</si>
  <si>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</si>
  <si>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</si>
  <si>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</si>
  <si>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</si>
  <si>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</si>
  <si>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</si>
  <si>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</si>
  <si>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</si>
  <si>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</si>
  <si>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</si>
  <si>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</si>
  <si>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</si>
  <si>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</si>
  <si>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</si>
  <si>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</si>
  <si>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</si>
  <si>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</si>
  <si>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</si>
  <si>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</si>
  <si>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</si>
  <si>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</si>
  <si>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</si>
  <si>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</si>
  <si>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</si>
  <si>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</si>
  <si>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</si>
  <si>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</si>
  <si>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</si>
  <si>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</si>
  <si>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</si>
  <si>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</si>
  <si>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</si>
  <si>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</si>
  <si>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</si>
  <si>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</si>
  <si>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</si>
  <si>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</si>
  <si>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</si>
  <si>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</si>
  <si>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</si>
  <si>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</si>
  <si>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</si>
  <si>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</si>
  <si>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</si>
  <si>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</si>
  <si>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</si>
  <si>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</si>
  <si>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</si>
  <si>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</si>
  <si>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</si>
  <si>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</si>
  <si>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</si>
  <si>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</si>
  <si>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</si>
  <si>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</si>
  <si>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</si>
  <si>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</si>
  <si>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</si>
  <si>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</si>
  <si>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</si>
  <si>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</si>
  <si>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</si>
  <si>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</si>
  <si>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</si>
  <si>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</si>
  <si>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</si>
  <si>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</si>
  <si>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</si>
  <si>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</si>
  <si>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</si>
  <si>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</si>
  <si>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</si>
  <si>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</si>
  <si>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</si>
  <si>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</si>
  <si>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</si>
  <si>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</si>
  <si>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</si>
  <si>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</si>
  <si>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</si>
  <si>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</si>
  <si>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</si>
  <si>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</si>
  <si>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</si>
  <si>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</si>
  <si>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</si>
  <si>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</si>
  <si>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</si>
  <si>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</si>
  <si>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</si>
  <si>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</si>
  <si>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</si>
  <si>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</si>
  <si>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</si>
  <si>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</si>
  <si>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</si>
  <si>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</si>
  <si>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</si>
  <si>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</si>
  <si>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</si>
  <si>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</si>
  <si>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</si>
  <si>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</si>
  <si>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</si>
  <si>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</si>
  <si>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</si>
  <si>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</si>
  <si>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</si>
  <si>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</si>
  <si>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</si>
  <si>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</si>
  <si>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</si>
  <si>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</si>
  <si>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</si>
  <si>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</si>
  <si>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</si>
  <si>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</si>
  <si>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</si>
  <si>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</si>
  <si>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</si>
  <si>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</si>
  <si>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</si>
  <si>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</si>
  <si>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</si>
  <si>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</si>
  <si>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</si>
  <si>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</si>
  <si>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</si>
  <si>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</si>
  <si>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</si>
  <si>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</si>
  <si>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</si>
  <si>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</si>
  <si>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</si>
  <si>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</si>
  <si>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</si>
  <si>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</si>
  <si>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</si>
  <si>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</si>
  <si>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</si>
  <si>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</si>
  <si>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</si>
  <si>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</si>
  <si>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</si>
  <si>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</si>
  <si>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</si>
  <si>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</si>
  <si>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</si>
  <si>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</si>
  <si>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</si>
  <si>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</si>
  <si>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</si>
  <si>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</si>
  <si>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</si>
  <si>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</si>
  <si>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</si>
  <si>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</si>
  <si>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</si>
  <si>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</si>
  <si>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</si>
  <si>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</si>
  <si>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</si>
  <si>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</si>
  <si>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</si>
  <si>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</si>
  <si>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</si>
  <si>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</si>
  <si>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</si>
  <si>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</si>
  <si>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</si>
  <si>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</si>
  <si>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</si>
  <si>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</si>
  <si>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</si>
  <si>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</si>
  <si>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</si>
  <si>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</si>
  <si>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</si>
  <si>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</si>
  <si>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</si>
  <si>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</si>
  <si>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</si>
  <si>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</si>
  <si>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</si>
  <si>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</si>
  <si>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</si>
  <si>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</si>
  <si>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</si>
  <si>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</si>
  <si>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</si>
  <si>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</si>
  <si>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</si>
  <si>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</si>
  <si>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</si>
  <si>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</si>
  <si>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</si>
  <si>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</si>
  <si>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</si>
  <si>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</si>
  <si>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</si>
  <si>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</si>
  <si>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</si>
  <si>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</si>
  <si>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</si>
  <si>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</si>
  <si>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</si>
  <si>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37017</t>
  </si>
  <si>
    <t>WIELSBEKE</t>
  </si>
  <si>
    <t>Paarden&amp;pony's 200 - 600 kg</t>
  </si>
  <si>
    <t>Paarden&amp;pony's &lt; 200 kg</t>
  </si>
  <si>
    <t>referentietaak LNE (2017); Jaarverslag De Lijn (2015)</t>
  </si>
  <si>
    <t>op basis van VEA (maart 2018) en Inventaris Hernieuwbare Energiebronnen (juni 2018)</t>
  </si>
  <si>
    <t>VEA (januari 2017)</t>
  </si>
  <si>
    <t>VEA (juni 2018)</t>
  </si>
  <si>
    <t>B &amp; N Knauf &amp; Cie - Isolava GCV</t>
  </si>
  <si>
    <t>Ooigemstraat 12 , 8710 Wielsbeke</t>
  </si>
  <si>
    <t>WKK-0224 B&amp;N Knauf &amp; Cie Isolava</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</si>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</sst>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75206.63548690491</c:v>
                </c:pt>
                <c:pt idx="1">
                  <c:v>39860.529330922487</c:v>
                </c:pt>
                <c:pt idx="2">
                  <c:v>980.98299999999995</c:v>
                </c:pt>
                <c:pt idx="3">
                  <c:v>6432.1776541788913</c:v>
                </c:pt>
                <c:pt idx="4">
                  <c:v>962209.6040507307</c:v>
                </c:pt>
                <c:pt idx="5">
                  <c:v>50329.7660636523</c:v>
                </c:pt>
                <c:pt idx="6">
                  <c:v>397.95361128122346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75206.63548690491</c:v>
                </c:pt>
                <c:pt idx="1">
                  <c:v>39860.529330922487</c:v>
                </c:pt>
                <c:pt idx="2">
                  <c:v>980.98299999999995</c:v>
                </c:pt>
                <c:pt idx="3">
                  <c:v>6432.1776541788913</c:v>
                </c:pt>
                <c:pt idx="4">
                  <c:v>962209.6040507307</c:v>
                </c:pt>
                <c:pt idx="5">
                  <c:v>50329.7660636523</c:v>
                </c:pt>
                <c:pt idx="6">
                  <c:v>397.95361128122346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14045.056780627499</c:v>
                </c:pt>
                <c:pt idx="1">
                  <c:v>8025.8105342529025</c:v>
                </c:pt>
                <c:pt idx="2">
                  <c:v>204.02158506764849</c:v>
                </c:pt>
                <c:pt idx="3">
                  <c:v>1596.001835186016</c:v>
                </c:pt>
                <c:pt idx="4">
                  <c:v>195144.72249093265</c:v>
                </c:pt>
                <c:pt idx="5">
                  <c:v>12910.401421874205</c:v>
                </c:pt>
                <c:pt idx="6">
                  <c:v>103.05701612907335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1472"/>
        <c:axId val="183563008"/>
      </c:barChart>
      <c:catAx>
        <c:axId val="183401472"/>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01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14045.056780627499</c:v>
                </c:pt>
                <c:pt idx="1">
                  <c:v>8025.8105342529025</c:v>
                </c:pt>
                <c:pt idx="2">
                  <c:v>204.02158506764849</c:v>
                </c:pt>
                <c:pt idx="3">
                  <c:v>1596.001835186016</c:v>
                </c:pt>
                <c:pt idx="4">
                  <c:v>195144.72249093265</c:v>
                </c:pt>
                <c:pt idx="5">
                  <c:v>12910.401421874205</c:v>
                </c:pt>
                <c:pt idx="6">
                  <c:v>103.05701612907335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37017</v>
      </c>
      <c r="B6" s="415"/>
      <c r="C6" s="416"/>
    </row>
    <row r="7" spans="1:7" s="413" customFormat="1" ht="15.75" customHeight="1">
      <c r="A7" s="417" t="str">
        <f>txtMunicipality</f>
        <v>WIELSBEKE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37017</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3747</v>
      </c>
      <c r="C9" s="342">
        <v>3855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1016.05</v>
      </c>
    </row>
    <row r="15" spans="1:6">
      <c r="A15" s="348" t="s">
        <v>184</v>
      </c>
      <c r="B15" s="334">
        <v>512</v>
      </c>
    </row>
    <row r="16" spans="1:6">
      <c r="A16" s="348" t="s">
        <v>6</v>
      </c>
      <c r="B16" s="334">
        <v>434</v>
      </c>
    </row>
    <row r="17" spans="1:6">
      <c r="A17" s="348" t="s">
        <v>7</v>
      </c>
      <c r="B17" s="334">
        <v>503</v>
      </c>
    </row>
    <row r="18" spans="1:6">
      <c r="A18" s="348" t="s">
        <v>8</v>
      </c>
      <c r="B18" s="334">
        <v>755</v>
      </c>
    </row>
    <row r="19" spans="1:6">
      <c r="A19" s="348" t="s">
        <v>9</v>
      </c>
      <c r="B19" s="334">
        <v>659</v>
      </c>
    </row>
    <row r="20" spans="1:6">
      <c r="A20" s="348" t="s">
        <v>10</v>
      </c>
      <c r="B20" s="334">
        <v>430</v>
      </c>
    </row>
    <row r="21" spans="1:6">
      <c r="A21" s="348" t="s">
        <v>11</v>
      </c>
      <c r="B21" s="334">
        <v>3177</v>
      </c>
    </row>
    <row r="22" spans="1:6">
      <c r="A22" s="348" t="s">
        <v>12</v>
      </c>
      <c r="B22" s="334">
        <v>16626</v>
      </c>
    </row>
    <row r="23" spans="1:6">
      <c r="A23" s="348" t="s">
        <v>13</v>
      </c>
      <c r="B23" s="334">
        <v>105</v>
      </c>
    </row>
    <row r="24" spans="1:6">
      <c r="A24" s="348" t="s">
        <v>14</v>
      </c>
      <c r="B24" s="334">
        <v>6</v>
      </c>
    </row>
    <row r="25" spans="1:6">
      <c r="A25" s="348" t="s">
        <v>15</v>
      </c>
      <c r="B25" s="334">
        <v>879</v>
      </c>
    </row>
    <row r="26" spans="1:6">
      <c r="A26" s="348" t="s">
        <v>16</v>
      </c>
      <c r="B26" s="334">
        <v>160</v>
      </c>
    </row>
    <row r="27" spans="1:6">
      <c r="A27" s="348" t="s">
        <v>17</v>
      </c>
      <c r="B27" s="334">
        <v>0</v>
      </c>
    </row>
    <row r="28" spans="1:6" s="356" customFormat="1">
      <c r="A28" s="355" t="s">
        <v>18</v>
      </c>
      <c r="B28" s="355">
        <v>80390</v>
      </c>
    </row>
    <row r="29" spans="1:6">
      <c r="A29" s="355" t="s">
        <v>812</v>
      </c>
      <c r="B29" s="355">
        <v>33</v>
      </c>
      <c r="C29" s="356"/>
      <c r="D29" s="356"/>
      <c r="E29" s="356"/>
      <c r="F29" s="356"/>
    </row>
    <row r="30" spans="1:6">
      <c r="A30" s="355" t="s">
        <v>813</v>
      </c>
      <c r="B30" s="341">
        <v>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1755578.1831</v>
      </c>
    </row>
    <row r="39" spans="1:6">
      <c r="A39" s="348" t="s">
        <v>30</v>
      </c>
      <c r="B39" s="348" t="s">
        <v>31</v>
      </c>
      <c r="C39" s="334">
        <v>2191</v>
      </c>
      <c r="D39" s="334">
        <v>32676847.620000001</v>
      </c>
      <c r="E39" s="334">
        <v>3516</v>
      </c>
      <c r="F39" s="334">
        <v>13775148.99</v>
      </c>
    </row>
    <row r="40" spans="1:6">
      <c r="A40" s="348" t="s">
        <v>30</v>
      </c>
      <c r="B40" s="348" t="s">
        <v>29</v>
      </c>
      <c r="C40" s="334">
        <v>0</v>
      </c>
      <c r="D40" s="334">
        <v>0</v>
      </c>
      <c r="E40" s="334">
        <v>0</v>
      </c>
      <c r="F40" s="334">
        <v>11524</v>
      </c>
    </row>
    <row r="41" spans="1:6">
      <c r="A41" s="348" t="s">
        <v>32</v>
      </c>
      <c r="B41" s="348" t="s">
        <v>33</v>
      </c>
      <c r="C41" s="334">
        <v>51</v>
      </c>
      <c r="D41" s="334">
        <v>78793942.811000004</v>
      </c>
      <c r="E41" s="334">
        <v>174</v>
      </c>
      <c r="F41" s="334">
        <v>169059788.84999999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298418.17559</v>
      </c>
    </row>
    <row r="45" spans="1:6">
      <c r="A45" s="348" t="s">
        <v>32</v>
      </c>
      <c r="B45" s="348" t="s">
        <v>37</v>
      </c>
      <c r="C45" s="334">
        <v>0</v>
      </c>
      <c r="D45" s="334">
        <v>0</v>
      </c>
      <c r="E45" s="334">
        <v>4</v>
      </c>
      <c r="F45" s="334">
        <v>104007.18513</v>
      </c>
    </row>
    <row r="46" spans="1:6">
      <c r="A46" s="348" t="s">
        <v>32</v>
      </c>
      <c r="B46" s="348" t="s">
        <v>38</v>
      </c>
      <c r="C46" s="334">
        <v>0</v>
      </c>
      <c r="D46" s="334">
        <v>0</v>
      </c>
      <c r="E46" s="334">
        <v>0</v>
      </c>
      <c r="F46" s="334">
        <v>0</v>
      </c>
    </row>
    <row r="47" spans="1:6">
      <c r="A47" s="348" t="s">
        <v>32</v>
      </c>
      <c r="B47" s="348" t="s">
        <v>39</v>
      </c>
      <c r="C47" s="334">
        <v>0</v>
      </c>
      <c r="D47" s="334">
        <v>0</v>
      </c>
      <c r="E47" s="334">
        <v>3</v>
      </c>
      <c r="F47" s="334">
        <v>566896.13719000004</v>
      </c>
    </row>
    <row r="48" spans="1:6">
      <c r="A48" s="348" t="s">
        <v>32</v>
      </c>
      <c r="B48" s="348" t="s">
        <v>29</v>
      </c>
      <c r="C48" s="334">
        <v>34</v>
      </c>
      <c r="D48" s="334">
        <v>193744228.50999999</v>
      </c>
      <c r="E48" s="334">
        <v>34</v>
      </c>
      <c r="F48" s="334">
        <v>20955555.120000001</v>
      </c>
    </row>
    <row r="49" spans="1:6">
      <c r="A49" s="348" t="s">
        <v>32</v>
      </c>
      <c r="B49" s="348" t="s">
        <v>40</v>
      </c>
      <c r="C49" s="334">
        <v>8</v>
      </c>
      <c r="D49" s="334">
        <v>119287040.84999999</v>
      </c>
      <c r="E49" s="334">
        <v>29</v>
      </c>
      <c r="F49" s="334">
        <v>132996289.73999999</v>
      </c>
    </row>
    <row r="50" spans="1:6">
      <c r="A50" s="348" t="s">
        <v>32</v>
      </c>
      <c r="B50" s="348" t="s">
        <v>41</v>
      </c>
      <c r="C50" s="334">
        <v>7</v>
      </c>
      <c r="D50" s="334">
        <v>885761.92755000002</v>
      </c>
      <c r="E50" s="334">
        <v>10</v>
      </c>
      <c r="F50" s="334">
        <v>14688918.664000001</v>
      </c>
    </row>
    <row r="51" spans="1:6">
      <c r="A51" s="348" t="s">
        <v>42</v>
      </c>
      <c r="B51" s="348" t="s">
        <v>43</v>
      </c>
      <c r="C51" s="334">
        <v>0</v>
      </c>
      <c r="D51" s="334">
        <v>0</v>
      </c>
      <c r="E51" s="334">
        <v>50</v>
      </c>
      <c r="F51" s="334">
        <v>848591.81712000002</v>
      </c>
    </row>
    <row r="52" spans="1:6">
      <c r="A52" s="348" t="s">
        <v>42</v>
      </c>
      <c r="B52" s="348" t="s">
        <v>29</v>
      </c>
      <c r="C52" s="334">
        <v>6</v>
      </c>
      <c r="D52" s="334">
        <v>264283.54319</v>
      </c>
      <c r="E52" s="334">
        <v>7</v>
      </c>
      <c r="F52" s="334">
        <v>266447.08597000001</v>
      </c>
    </row>
    <row r="53" spans="1:6">
      <c r="A53" s="348" t="s">
        <v>44</v>
      </c>
      <c r="B53" s="348" t="s">
        <v>45</v>
      </c>
      <c r="C53" s="334">
        <v>56</v>
      </c>
      <c r="D53" s="334">
        <v>902215.41014000005</v>
      </c>
      <c r="E53" s="334">
        <v>115</v>
      </c>
      <c r="F53" s="334">
        <v>415541.66434000002</v>
      </c>
    </row>
    <row r="54" spans="1:6">
      <c r="A54" s="348" t="s">
        <v>46</v>
      </c>
      <c r="B54" s="348" t="s">
        <v>47</v>
      </c>
      <c r="C54" s="334">
        <v>0</v>
      </c>
      <c r="D54" s="334">
        <v>0</v>
      </c>
      <c r="E54" s="334">
        <v>1</v>
      </c>
      <c r="F54" s="334">
        <v>980983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723327.40616999997</v>
      </c>
      <c r="E57" s="334">
        <v>49</v>
      </c>
      <c r="F57" s="334">
        <v>1793283.2490000001</v>
      </c>
    </row>
    <row r="58" spans="1:6">
      <c r="A58" s="348" t="s">
        <v>49</v>
      </c>
      <c r="B58" s="348" t="s">
        <v>51</v>
      </c>
      <c r="C58" s="334">
        <v>0</v>
      </c>
      <c r="D58" s="334">
        <v>0</v>
      </c>
      <c r="E58" s="334">
        <v>10</v>
      </c>
      <c r="F58" s="334">
        <v>67277.645357999994</v>
      </c>
    </row>
    <row r="59" spans="1:6">
      <c r="A59" s="348" t="s">
        <v>49</v>
      </c>
      <c r="B59" s="348" t="s">
        <v>52</v>
      </c>
      <c r="C59" s="334">
        <v>21</v>
      </c>
      <c r="D59" s="334">
        <v>769588.72170999995</v>
      </c>
      <c r="E59" s="334">
        <v>97</v>
      </c>
      <c r="F59" s="334">
        <v>2198977.0515999999</v>
      </c>
    </row>
    <row r="60" spans="1:6">
      <c r="A60" s="348" t="s">
        <v>49</v>
      </c>
      <c r="B60" s="348" t="s">
        <v>53</v>
      </c>
      <c r="C60" s="334">
        <v>16</v>
      </c>
      <c r="D60" s="334">
        <v>478441.30330000003</v>
      </c>
      <c r="E60" s="334">
        <v>21</v>
      </c>
      <c r="F60" s="334">
        <v>258674.46134000001</v>
      </c>
    </row>
    <row r="61" spans="1:6">
      <c r="A61" s="348" t="s">
        <v>49</v>
      </c>
      <c r="B61" s="348" t="s">
        <v>54</v>
      </c>
      <c r="C61" s="334">
        <v>89</v>
      </c>
      <c r="D61" s="334">
        <v>3947608.9051000001</v>
      </c>
      <c r="E61" s="334">
        <v>189</v>
      </c>
      <c r="F61" s="334">
        <v>5537969.6229999997</v>
      </c>
    </row>
    <row r="62" spans="1:6">
      <c r="A62" s="348" t="s">
        <v>49</v>
      </c>
      <c r="B62" s="348" t="s">
        <v>55</v>
      </c>
      <c r="C62" s="334">
        <v>6</v>
      </c>
      <c r="D62" s="334">
        <v>773007.14650000003</v>
      </c>
      <c r="E62" s="334">
        <v>6</v>
      </c>
      <c r="F62" s="334">
        <v>88641.297672999994</v>
      </c>
    </row>
    <row r="63" spans="1:6">
      <c r="A63" s="348" t="s">
        <v>49</v>
      </c>
      <c r="B63" s="348" t="s">
        <v>29</v>
      </c>
      <c r="C63" s="334">
        <v>69</v>
      </c>
      <c r="D63" s="334">
        <v>2199490.3615000001</v>
      </c>
      <c r="E63" s="334">
        <v>88</v>
      </c>
      <c r="F63" s="334">
        <v>13037419.358999999</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4</v>
      </c>
      <c r="F66" s="334">
        <v>77707.194145000001</v>
      </c>
    </row>
    <row r="67" spans="1:6">
      <c r="A67" s="355" t="s">
        <v>56</v>
      </c>
      <c r="B67" s="355" t="s">
        <v>59</v>
      </c>
      <c r="C67" s="334">
        <v>0</v>
      </c>
      <c r="D67" s="334">
        <v>0</v>
      </c>
      <c r="E67" s="334">
        <v>0</v>
      </c>
      <c r="F67" s="334">
        <v>0</v>
      </c>
    </row>
    <row r="68" spans="1:6">
      <c r="A68" s="341" t="s">
        <v>56</v>
      </c>
      <c r="B68" s="341" t="s">
        <v>60</v>
      </c>
      <c r="C68" s="334">
        <v>5</v>
      </c>
      <c r="D68" s="334">
        <v>91578.927635999993</v>
      </c>
      <c r="E68" s="334">
        <v>23</v>
      </c>
      <c r="F68" s="334">
        <v>369009.77583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24855377</v>
      </c>
      <c r="E73" s="476">
        <v>28927724.484051194</v>
      </c>
    </row>
    <row r="74" spans="1:6">
      <c r="A74" s="348" t="s">
        <v>64</v>
      </c>
      <c r="B74" s="348" t="s">
        <v>667</v>
      </c>
      <c r="C74" s="1212" t="s">
        <v>669</v>
      </c>
      <c r="D74" s="476">
        <v>5235700.5426732181</v>
      </c>
      <c r="E74" s="476">
        <v>5715956.9430736583</v>
      </c>
    </row>
    <row r="75" spans="1:6">
      <c r="A75" s="348" t="s">
        <v>65</v>
      </c>
      <c r="B75" s="348" t="s">
        <v>666</v>
      </c>
      <c r="C75" s="1212" t="s">
        <v>670</v>
      </c>
      <c r="D75" s="476">
        <v>15025473</v>
      </c>
      <c r="E75" s="476">
        <v>16642445.739645202</v>
      </c>
    </row>
    <row r="76" spans="1:6">
      <c r="A76" s="348" t="s">
        <v>65</v>
      </c>
      <c r="B76" s="348" t="s">
        <v>667</v>
      </c>
      <c r="C76" s="1212" t="s">
        <v>671</v>
      </c>
      <c r="D76" s="476">
        <v>2211839.5426732176</v>
      </c>
      <c r="E76" s="476">
        <v>2334173.9339552154</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106884.9146535644</v>
      </c>
      <c r="C83" s="476">
        <v>106884.9146535644</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12169.807208050885</v>
      </c>
    </row>
    <row r="91" spans="1:6">
      <c r="A91" s="348" t="s">
        <v>68</v>
      </c>
      <c r="B91" s="334">
        <v>1980.5388090798253</v>
      </c>
    </row>
    <row r="92" spans="1:6">
      <c r="A92" s="341" t="s">
        <v>69</v>
      </c>
      <c r="B92" s="342">
        <v>8368.1414868115517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1190</v>
      </c>
    </row>
    <row r="98" spans="1:6">
      <c r="A98" s="348" t="s">
        <v>72</v>
      </c>
      <c r="B98" s="334">
        <v>0</v>
      </c>
    </row>
    <row r="99" spans="1:6">
      <c r="A99" s="348" t="s">
        <v>73</v>
      </c>
      <c r="B99" s="334">
        <v>52</v>
      </c>
    </row>
    <row r="100" spans="1:6">
      <c r="A100" s="348" t="s">
        <v>74</v>
      </c>
      <c r="B100" s="334">
        <v>255</v>
      </c>
    </row>
    <row r="101" spans="1:6">
      <c r="A101" s="348" t="s">
        <v>75</v>
      </c>
      <c r="B101" s="334">
        <v>72</v>
      </c>
    </row>
    <row r="102" spans="1:6">
      <c r="A102" s="348" t="s">
        <v>76</v>
      </c>
      <c r="B102" s="334">
        <v>71</v>
      </c>
    </row>
    <row r="103" spans="1:6">
      <c r="A103" s="348" t="s">
        <v>77</v>
      </c>
      <c r="B103" s="334">
        <v>104</v>
      </c>
    </row>
    <row r="104" spans="1:6">
      <c r="A104" s="348" t="s">
        <v>78</v>
      </c>
      <c r="B104" s="334">
        <v>1539</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18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113</v>
      </c>
    </row>
    <row r="130" spans="1:6">
      <c r="A130" s="348" t="s">
        <v>295</v>
      </c>
      <c r="B130" s="334">
        <v>3</v>
      </c>
    </row>
    <row r="131" spans="1:6">
      <c r="A131" s="348" t="s">
        <v>296</v>
      </c>
      <c r="B131" s="334">
        <v>7</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380667.69574971485</v>
      </c>
      <c r="C3" s="43" t="s">
        <v>170</v>
      </c>
      <c r="D3" s="43"/>
      <c r="E3" s="154"/>
      <c r="F3" s="43"/>
      <c r="G3" s="43"/>
      <c r="H3" s="43"/>
      <c r="I3" s="43"/>
      <c r="J3" s="43"/>
      <c r="K3" s="96"/>
    </row>
    <row r="4" spans="1:11">
      <c r="A4" s="383" t="s">
        <v>171</v>
      </c>
      <c r="B4" s="49">
        <f>IF(ISERROR('SEAP template'!B69),0,'SEAP template'!B69)</f>
        <v>23661.487503942262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271.63058823529417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0.20797667754451249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388.04369747899159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1632.8571428571429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980.98299999999995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980.98299999999995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0.20797667754451249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204.02158506764849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13786.672990000001</v>
      </c>
      <c r="C5" s="17">
        <f>IF(ISERROR('Eigen informatie GS &amp; warmtenet'!B57),0,'Eigen informatie GS &amp; warmtenet'!B57)</f>
        <v>0</v>
      </c>
      <c r="D5" s="30">
        <f>(SUM(HH_hh_gas_kWh,HH_rest_gas_kWh)/1000)*0.902</f>
        <v>29474.516553240002</v>
      </c>
      <c r="E5" s="17">
        <f>B46*B57</f>
        <v>2740.1660576940085</v>
      </c>
      <c r="F5" s="17">
        <f>B51*B62</f>
        <v>15532.728555611528</v>
      </c>
      <c r="G5" s="18"/>
      <c r="H5" s="17"/>
      <c r="I5" s="17"/>
      <c r="J5" s="17">
        <f>B50*B61+C50*C61</f>
        <v>120.7228624715962</v>
      </c>
      <c r="K5" s="17"/>
      <c r="L5" s="17"/>
      <c r="M5" s="17"/>
      <c r="N5" s="17">
        <f>B48*B59+C48*C59</f>
        <v>10775.426325474635</v>
      </c>
      <c r="O5" s="17">
        <f>B69*B70*B71</f>
        <v>204.79666666666668</v>
      </c>
      <c r="P5" s="17">
        <f>B77*B78*B79/1000-B77*B78*B79/1000/B80</f>
        <v>591.06666666666661</v>
      </c>
    </row>
    <row r="6" spans="1:16">
      <c r="A6" s="16" t="s">
        <v>624</v>
      </c>
      <c r="B6" s="843">
        <f>kWh_PV_kleiner_dan_10kW</f>
        <v>1980.5388090798253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15767.211799079827</v>
      </c>
      <c r="C8" s="21">
        <f>C5</f>
        <v>0</v>
      </c>
      <c r="D8" s="21">
        <f>D5</f>
        <v>29474.516553240002</v>
      </c>
      <c r="E8" s="21">
        <f>E5</f>
        <v>2740.1660576940085</v>
      </c>
      <c r="F8" s="21">
        <f>F5</f>
        <v>15532.728555611528</v>
      </c>
      <c r="G8" s="21"/>
      <c r="H8" s="21"/>
      <c r="I8" s="21"/>
      <c r="J8" s="21">
        <f>J5</f>
        <v>120.7228624715962</v>
      </c>
      <c r="K8" s="21"/>
      <c r="L8" s="21">
        <f>L5</f>
        <v>0</v>
      </c>
      <c r="M8" s="21">
        <f>M5</f>
        <v>0</v>
      </c>
      <c r="N8" s="21">
        <f>N5</f>
        <v>10775.426325474635</v>
      </c>
      <c r="O8" s="21">
        <f>O5</f>
        <v>204.79666666666668</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0.20797667754451249</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3279.2123241132576</v>
      </c>
      <c r="C12" s="23">
        <f ca="1">C10*C8</f>
        <v>0</v>
      </c>
      <c r="D12" s="23">
        <f>D8*D10</f>
        <v>5953.8523437544809</v>
      </c>
      <c r="E12" s="23">
        <f>E10*E8</f>
        <v>622.01769509653991</v>
      </c>
      <c r="F12" s="23">
        <f>F10*F8</f>
        <v>4147.2385243482777</v>
      </c>
      <c r="G12" s="23"/>
      <c r="H12" s="23"/>
      <c r="I12" s="23"/>
      <c r="J12" s="23">
        <f>J10*J8</f>
        <v>42.735893314945052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1190</v>
      </c>
      <c r="C18" s="166" t="s">
        <v>111</v>
      </c>
      <c r="D18" s="228"/>
      <c r="E18" s="15"/>
    </row>
    <row r="19" spans="1:7">
      <c r="A19" s="171" t="s">
        <v>72</v>
      </c>
      <c r="B19" s="37">
        <f>aantalw2001_ander</f>
        <v>0</v>
      </c>
      <c r="C19" s="166" t="s">
        <v>111</v>
      </c>
      <c r="D19" s="229"/>
      <c r="E19" s="15"/>
    </row>
    <row r="20" spans="1:7">
      <c r="A20" s="171" t="s">
        <v>73</v>
      </c>
      <c r="B20" s="37">
        <f>aantalw2001_propaan</f>
        <v>52</v>
      </c>
      <c r="C20" s="167">
        <f>IF(ISERROR(B20/SUM($B$20,$B$21,$B$22)*100),0,B20/SUM($B$20,$B$21,$B$22)*100)</f>
        <v>13.720316622691293</v>
      </c>
      <c r="D20" s="229"/>
      <c r="E20" s="15"/>
    </row>
    <row r="21" spans="1:7">
      <c r="A21" s="171" t="s">
        <v>74</v>
      </c>
      <c r="B21" s="37">
        <f>aantalw2001_elektriciteit</f>
        <v>255</v>
      </c>
      <c r="C21" s="167">
        <f>IF(ISERROR(B21/SUM($B$20,$B$21,$B$22)*100),0,B21/SUM($B$20,$B$21,$B$22)*100)</f>
        <v>67.282321899736147</v>
      </c>
      <c r="D21" s="229"/>
      <c r="E21" s="15"/>
    </row>
    <row r="22" spans="1:7">
      <c r="A22" s="171" t="s">
        <v>75</v>
      </c>
      <c r="B22" s="37">
        <f>aantalw2001_hout</f>
        <v>72</v>
      </c>
      <c r="C22" s="167">
        <f>IF(ISERROR(B22/SUM($B$20,$B$21,$B$22)*100),0,B22/SUM($B$20,$B$21,$B$22)*100)</f>
        <v>18.997361477572557</v>
      </c>
      <c r="D22" s="229"/>
      <c r="E22" s="15"/>
    </row>
    <row r="23" spans="1:7">
      <c r="A23" s="171" t="s">
        <v>76</v>
      </c>
      <c r="B23" s="37">
        <f>aantalw2001_niet_gespec</f>
        <v>71</v>
      </c>
      <c r="C23" s="166" t="s">
        <v>111</v>
      </c>
      <c r="D23" s="228"/>
      <c r="E23" s="15"/>
    </row>
    <row r="24" spans="1:7">
      <c r="A24" s="171" t="s">
        <v>77</v>
      </c>
      <c r="B24" s="37">
        <f>aantalw2001_steenkool</f>
        <v>104</v>
      </c>
      <c r="C24" s="166" t="s">
        <v>111</v>
      </c>
      <c r="D24" s="229"/>
      <c r="E24" s="15"/>
    </row>
    <row r="25" spans="1:7">
      <c r="A25" s="171" t="s">
        <v>78</v>
      </c>
      <c r="B25" s="37">
        <f>aantalw2001_stookolie</f>
        <v>1539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3747</v>
      </c>
      <c r="C28" s="36"/>
      <c r="D28" s="228"/>
    </row>
    <row r="29" spans="1:7" s="15" customFormat="1">
      <c r="A29" s="230" t="s">
        <v>699</v>
      </c>
      <c r="B29" s="37">
        <f>SUM(HH_hh_gas_aantal,HH_rest_gas_aantal)</f>
        <v>2191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2191</v>
      </c>
      <c r="C32" s="167">
        <f>IF(ISERROR(B32/SUM($B$32,$B$34,$B$35,$B$36,$B$38,$B$39)*100),0,B32/SUM($B$32,$B$34,$B$35,$B$36,$B$38,$B$39)*100)</f>
        <v>58.96124865446717</v>
      </c>
      <c r="D32" s="233"/>
      <c r="G32" s="15"/>
    </row>
    <row r="33" spans="1:7">
      <c r="A33" s="171" t="s">
        <v>72</v>
      </c>
      <c r="B33" s="34" t="s">
        <v>111</v>
      </c>
      <c r="C33" s="167"/>
      <c r="D33" s="233"/>
      <c r="G33" s="15"/>
    </row>
    <row r="34" spans="1:7">
      <c r="A34" s="171" t="s">
        <v>73</v>
      </c>
      <c r="B34" s="33">
        <f>IF((($B$28-$B$32-$B$39-$B$77-$B$38)*C20/100)&lt;0,0,($B$28-$B$32-$B$39-$B$77-$B$38)*C20/100)</f>
        <v>121.15039577836411</v>
      </c>
      <c r="C34" s="167">
        <f>IF(ISERROR(B34/SUM($B$32,$B$34,$B$35,$B$36,$B$38,$B$39)*100),0,B34/SUM($B$32,$B$34,$B$35,$B$36,$B$38,$B$39)*100)</f>
        <v>3.2602367001712622</v>
      </c>
      <c r="D34" s="233"/>
      <c r="G34" s="15"/>
    </row>
    <row r="35" spans="1:7">
      <c r="A35" s="171" t="s">
        <v>74</v>
      </c>
      <c r="B35" s="33">
        <f>IF((($B$28-$B$32-$B$39-$B$77-$B$38)*C21/100)&lt;0,0,($B$28-$B$32-$B$39-$B$77-$B$38)*C21/100)</f>
        <v>594.10290237467018</v>
      </c>
      <c r="C35" s="167">
        <f>IF(ISERROR(B35/SUM($B$32,$B$34,$B$35,$B$36,$B$38,$B$39)*100),0,B35/SUM($B$32,$B$34,$B$35,$B$36,$B$38,$B$39)*100)</f>
        <v>15.987699202762922</v>
      </c>
      <c r="D35" s="233"/>
      <c r="G35" s="15"/>
    </row>
    <row r="36" spans="1:7">
      <c r="A36" s="171" t="s">
        <v>75</v>
      </c>
      <c r="B36" s="33">
        <f>IF((($B$28-$B$32-$B$39-$B$77-$B$38)*C22/100)&lt;0,0,($B$28-$B$32-$B$39-$B$77-$B$38)*C22/100)</f>
        <v>167.74670184696569</v>
      </c>
      <c r="C36" s="167">
        <f>IF(ISERROR(B36/SUM($B$32,$B$34,$B$35,$B$36,$B$38,$B$39)*100),0,B36/SUM($B$32,$B$34,$B$35,$B$36,$B$38,$B$39)*100)</f>
        <v>4.5141738925448243</v>
      </c>
      <c r="D36" s="233"/>
      <c r="G36" s="15"/>
    </row>
    <row r="37" spans="1:7">
      <c r="A37" s="171" t="s">
        <v>76</v>
      </c>
      <c r="B37" s="34" t="s">
        <v>111</v>
      </c>
      <c r="C37" s="167"/>
      <c r="D37" s="173"/>
      <c r="G37" s="15"/>
    </row>
    <row r="38" spans="1:7">
      <c r="A38" s="171" t="s">
        <v>77</v>
      </c>
      <c r="B38" s="33">
        <f>IF((B24-(B29-B18)*0.1)&lt;0,0,B24-(B29-B18)*0.1)</f>
        <v>3.8999999999999915</v>
      </c>
      <c r="C38" s="167">
        <f>IF(ISERROR(B38/SUM($B$32,$B$34,$B$35,$B$36,$B$38,$B$39)*100),0,B38/SUM($B$32,$B$34,$B$35,$B$36,$B$38,$B$39)*100)</f>
        <v>0.10495156081808373</v>
      </c>
      <c r="D38" s="234"/>
      <c r="G38" s="15"/>
    </row>
    <row r="39" spans="1:7">
      <c r="A39" s="171" t="s">
        <v>78</v>
      </c>
      <c r="B39" s="33">
        <f>IF((B25-(B29-B18))&lt;0,0,B25-(B29-B18)*0.9)</f>
        <v>638.1</v>
      </c>
      <c r="C39" s="167">
        <f>IF(ISERROR(B39/SUM($B$32,$B$34,$B$35,$B$36,$B$38,$B$39)*100),0,B39/SUM($B$32,$B$34,$B$35,$B$36,$B$38,$B$39)*100)</f>
        <v>17.171689989235738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2191</v>
      </c>
      <c r="C44" s="34" t="s">
        <v>111</v>
      </c>
      <c r="D44" s="174"/>
    </row>
    <row r="45" spans="1:7">
      <c r="A45" s="171" t="s">
        <v>72</v>
      </c>
      <c r="B45" s="33" t="str">
        <f t="shared" si="0"/>
        <v>-</v>
      </c>
      <c r="C45" s="34" t="s">
        <v>111</v>
      </c>
      <c r="D45" s="174"/>
    </row>
    <row r="46" spans="1:7">
      <c r="A46" s="171" t="s">
        <v>73</v>
      </c>
      <c r="B46" s="33">
        <f t="shared" si="0"/>
        <v>121.15039577836411</v>
      </c>
      <c r="C46" s="34" t="s">
        <v>111</v>
      </c>
      <c r="D46" s="174"/>
    </row>
    <row r="47" spans="1:7">
      <c r="A47" s="171" t="s">
        <v>74</v>
      </c>
      <c r="B47" s="33">
        <f t="shared" si="0"/>
        <v>594.10290237467018</v>
      </c>
      <c r="C47" s="34" t="s">
        <v>111</v>
      </c>
      <c r="D47" s="174"/>
    </row>
    <row r="48" spans="1:7">
      <c r="A48" s="171" t="s">
        <v>75</v>
      </c>
      <c r="B48" s="33">
        <f t="shared" si="0"/>
        <v>167.74670184696569</v>
      </c>
      <c r="C48" s="33">
        <f>B48*10</f>
        <v>1677.467018469657</v>
      </c>
      <c r="D48" s="234"/>
    </row>
    <row r="49" spans="1:6">
      <c r="A49" s="171" t="s">
        <v>76</v>
      </c>
      <c r="B49" s="33" t="str">
        <f t="shared" si="0"/>
        <v>-</v>
      </c>
      <c r="C49" s="34" t="s">
        <v>111</v>
      </c>
      <c r="D49" s="234"/>
    </row>
    <row r="50" spans="1:6">
      <c r="A50" s="171" t="s">
        <v>77</v>
      </c>
      <c r="B50" s="33">
        <f t="shared" si="0"/>
        <v>3.8999999999999915</v>
      </c>
      <c r="C50" s="33">
        <f>B50*2</f>
        <v>7.7999999999999829</v>
      </c>
      <c r="D50" s="234"/>
    </row>
    <row r="51" spans="1:6">
      <c r="A51" s="171" t="s">
        <v>78</v>
      </c>
      <c r="B51" s="33">
        <f t="shared" si="0"/>
        <v>638.1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22982.242686971</v>
      </c>
      <c r="C5" s="17">
        <f>IF(ISERROR('Eigen informatie GS &amp; warmtenet'!B58),0,'Eigen informatie GS &amp; warmtenet'!B58)</f>
        <v>0</v>
      </c>
      <c r="D5" s="30">
        <f>SUM(D6:D12)</f>
        <v>8020.1003875405613</v>
      </c>
      <c r="E5" s="17">
        <f>SUM(E6:E12)</f>
        <v>382.86734087595414</v>
      </c>
      <c r="F5" s="17">
        <f>SUM(F6:F12)</f>
        <v>5764.3029701609321</v>
      </c>
      <c r="G5" s="18"/>
      <c r="H5" s="17"/>
      <c r="I5" s="17"/>
      <c r="J5" s="17">
        <f>SUM(J6:J12)</f>
        <v>0</v>
      </c>
      <c r="K5" s="17"/>
      <c r="L5" s="17"/>
      <c r="M5" s="17"/>
      <c r="N5" s="17">
        <f>SUM(N6:N12)</f>
        <v>2572.8592787073712</v>
      </c>
      <c r="O5" s="17">
        <f>B38*B39*B40</f>
        <v>4.6900000000000004</v>
      </c>
      <c r="P5" s="17">
        <f>B46*B47*B48/1000-B46*B47*B48/1000/B49</f>
        <v>133.46666666666667</v>
      </c>
      <c r="R5" s="32"/>
    </row>
    <row r="6" spans="1:18">
      <c r="A6" s="32" t="s">
        <v>54</v>
      </c>
      <c r="B6" s="37">
        <f>B26</f>
        <v>5537.969623</v>
      </c>
      <c r="C6" s="33"/>
      <c r="D6" s="37">
        <f>IF(ISERROR(TER_kantoor_gas_kWh/1000),0,TER_kantoor_gas_kWh/1000)*0.902</f>
        <v>3560.7432324002002</v>
      </c>
      <c r="E6" s="33">
        <f>$C$26*'E Balans VL '!I12/100/3.6*1000000</f>
        <v>72.498844154458624</v>
      </c>
      <c r="F6" s="33">
        <f>$C$26*('E Balans VL '!L12+'E Balans VL '!N12)/100/3.6*1000000</f>
        <v>1412.1250266246338</v>
      </c>
      <c r="G6" s="34"/>
      <c r="H6" s="33"/>
      <c r="I6" s="33"/>
      <c r="J6" s="33">
        <f>$C$26*('E Balans VL '!D12+'E Balans VL '!E12)/100/3.6*1000000</f>
        <v>0</v>
      </c>
      <c r="K6" s="33"/>
      <c r="L6" s="33"/>
      <c r="M6" s="33"/>
      <c r="N6" s="33">
        <f>$C$26*'E Balans VL '!Y12/100/3.6*1000000</f>
        <v>5.5566184390762423</v>
      </c>
      <c r="O6" s="33"/>
      <c r="P6" s="33"/>
      <c r="R6" s="32"/>
    </row>
    <row r="7" spans="1:18">
      <c r="A7" s="32" t="s">
        <v>53</v>
      </c>
      <c r="B7" s="37">
        <f t="shared" ref="B7:B12" si="0">B27</f>
        <v>258.67446133999999</v>
      </c>
      <c r="C7" s="33"/>
      <c r="D7" s="37">
        <f>IF(ISERROR(TER_horeca_gas_kWh/1000),0,TER_horeca_gas_kWh/1000)*0.902</f>
        <v>431.55405557660004</v>
      </c>
      <c r="E7" s="33">
        <f>$C$27*'E Balans VL '!I9/100/3.6*1000000</f>
        <v>8.5605512063889986</v>
      </c>
      <c r="F7" s="33">
        <f>$C$27*('E Balans VL '!L9+'E Balans VL '!N9)/100/3.6*1000000</f>
        <v>111.22902701558237</v>
      </c>
      <c r="G7" s="34"/>
      <c r="H7" s="33"/>
      <c r="I7" s="33"/>
      <c r="J7" s="33">
        <f>$C$27*('E Balans VL '!D9+'E Balans VL '!E9)/100/3.6*1000000</f>
        <v>0</v>
      </c>
      <c r="K7" s="33"/>
      <c r="L7" s="33"/>
      <c r="M7" s="33"/>
      <c r="N7" s="33">
        <f>$C$27*'E Balans VL '!Y9/100/3.6*1000000</f>
        <v>6.2266699209943502E-2</v>
      </c>
      <c r="O7" s="33"/>
      <c r="P7" s="33"/>
      <c r="R7" s="32"/>
    </row>
    <row r="8" spans="1:18">
      <c r="A8" s="6" t="s">
        <v>52</v>
      </c>
      <c r="B8" s="37">
        <f t="shared" si="0"/>
        <v>2198.9770515999999</v>
      </c>
      <c r="C8" s="33"/>
      <c r="D8" s="37">
        <f>IF(ISERROR(TER_handel_gas_kWh/1000),0,TER_handel_gas_kWh/1000)*0.902</f>
        <v>694.16902698241995</v>
      </c>
      <c r="E8" s="33">
        <f>$C$28*'E Balans VL '!I13/100/3.6*1000000</f>
        <v>69.403075685416979</v>
      </c>
      <c r="F8" s="33">
        <f>$C$28*('E Balans VL '!L13+'E Balans VL '!N13)/100/3.6*1000000</f>
        <v>431.25812140058969</v>
      </c>
      <c r="G8" s="34"/>
      <c r="H8" s="33"/>
      <c r="I8" s="33"/>
      <c r="J8" s="33">
        <f>$C$28*('E Balans VL '!D13+'E Balans VL '!E13)/100/3.6*1000000</f>
        <v>0</v>
      </c>
      <c r="K8" s="33"/>
      <c r="L8" s="33"/>
      <c r="M8" s="33"/>
      <c r="N8" s="33">
        <f>$C$28*'E Balans VL '!Y13/100/3.6*1000000</f>
        <v>2.6097588340957758</v>
      </c>
      <c r="O8" s="33"/>
      <c r="P8" s="33"/>
      <c r="R8" s="32"/>
    </row>
    <row r="9" spans="1:18">
      <c r="A9" s="32" t="s">
        <v>51</v>
      </c>
      <c r="B9" s="37">
        <f t="shared" si="0"/>
        <v>67.277645358000001</v>
      </c>
      <c r="C9" s="33"/>
      <c r="D9" s="37">
        <f>IF(ISERROR(TER_gezond_gas_kWh/1000),0,TER_gezond_gas_kWh/1000)*0.902</f>
        <v>0</v>
      </c>
      <c r="E9" s="33">
        <f>$C$29*'E Balans VL '!I10/100/3.6*1000000</f>
        <v>8.6135067696690801E-3</v>
      </c>
      <c r="F9" s="33">
        <f>$C$29*('E Balans VL '!L10+'E Balans VL '!N10)/100/3.6*1000000</f>
        <v>14.016753392610276</v>
      </c>
      <c r="G9" s="34"/>
      <c r="H9" s="33"/>
      <c r="I9" s="33"/>
      <c r="J9" s="33">
        <f>$C$29*('E Balans VL '!D10+'E Balans VL '!E10)/100/3.6*1000000</f>
        <v>0</v>
      </c>
      <c r="K9" s="33"/>
      <c r="L9" s="33"/>
      <c r="M9" s="33"/>
      <c r="N9" s="33">
        <f>$C$29*'E Balans VL '!Y10/100/3.6*1000000</f>
        <v>0.79020774432546614</v>
      </c>
      <c r="O9" s="33"/>
      <c r="P9" s="33"/>
      <c r="R9" s="32"/>
    </row>
    <row r="10" spans="1:18">
      <c r="A10" s="32" t="s">
        <v>50</v>
      </c>
      <c r="B10" s="37">
        <f t="shared" si="0"/>
        <v>1793.2832490000001</v>
      </c>
      <c r="C10" s="33"/>
      <c r="D10" s="37">
        <f>IF(ISERROR(TER_ander_gas_kWh/1000),0,TER_ander_gas_kWh/1000)*0.902</f>
        <v>652.44132036534006</v>
      </c>
      <c r="E10" s="33">
        <f>$C$30*'E Balans VL '!I14/100/3.6*1000000</f>
        <v>2.696676287986441</v>
      </c>
      <c r="F10" s="33">
        <f>$C$30*('E Balans VL '!L14+'E Balans VL '!N14)/100/3.6*1000000</f>
        <v>395.899135616384</v>
      </c>
      <c r="G10" s="34"/>
      <c r="H10" s="33"/>
      <c r="I10" s="33"/>
      <c r="J10" s="33">
        <f>$C$30*('E Balans VL '!D14+'E Balans VL '!E14)/100/3.6*1000000</f>
        <v>0</v>
      </c>
      <c r="K10" s="33"/>
      <c r="L10" s="33"/>
      <c r="M10" s="33"/>
      <c r="N10" s="33">
        <f>$C$30*'E Balans VL '!Y14/100/3.6*1000000</f>
        <v>1413.2278836244402</v>
      </c>
      <c r="O10" s="33"/>
      <c r="P10" s="33"/>
      <c r="R10" s="32"/>
    </row>
    <row r="11" spans="1:18">
      <c r="A11" s="32" t="s">
        <v>55</v>
      </c>
      <c r="B11" s="37">
        <f t="shared" si="0"/>
        <v>88.641297672999997</v>
      </c>
      <c r="C11" s="33"/>
      <c r="D11" s="37">
        <f>IF(ISERROR(TER_onderwijs_gas_kWh/1000),0,TER_onderwijs_gas_kWh/1000)*0.902</f>
        <v>697.25244614300004</v>
      </c>
      <c r="E11" s="33">
        <f>$C$31*'E Balans VL '!I11/100/3.6*1000000</f>
        <v>0.15610475331722165</v>
      </c>
      <c r="F11" s="33">
        <f>$C$31*('E Balans VL '!L11+'E Balans VL '!N11)/100/3.6*1000000</f>
        <v>40.927291097252656</v>
      </c>
      <c r="G11" s="34"/>
      <c r="H11" s="33"/>
      <c r="I11" s="33"/>
      <c r="J11" s="33">
        <f>$C$31*('E Balans VL '!D11+'E Balans VL '!E11)/100/3.6*1000000</f>
        <v>0</v>
      </c>
      <c r="K11" s="33"/>
      <c r="L11" s="33"/>
      <c r="M11" s="33"/>
      <c r="N11" s="33">
        <f>$C$31*'E Balans VL '!Y11/100/3.6*1000000</f>
        <v>0.16513996336568915</v>
      </c>
      <c r="O11" s="33"/>
      <c r="P11" s="33"/>
      <c r="R11" s="32"/>
    </row>
    <row r="12" spans="1:18">
      <c r="A12" s="32" t="s">
        <v>260</v>
      </c>
      <c r="B12" s="37">
        <f t="shared" si="0"/>
        <v>13037.419359</v>
      </c>
      <c r="C12" s="33"/>
      <c r="D12" s="37">
        <f>IF(ISERROR(TER_rest_gas_kWh/1000),0,TER_rest_gas_kWh/1000)*0.902</f>
        <v>1983.9403060730003</v>
      </c>
      <c r="E12" s="33">
        <f>$C$32*'E Balans VL '!I8/100/3.6*1000000</f>
        <v>229.54347528161625</v>
      </c>
      <c r="F12" s="33">
        <f>$C$32*('E Balans VL '!L8+'E Balans VL '!N8)/100/3.6*1000000</f>
        <v>3358.847615013879</v>
      </c>
      <c r="G12" s="34"/>
      <c r="H12" s="33"/>
      <c r="I12" s="33"/>
      <c r="J12" s="33">
        <f>$C$32*('E Balans VL '!D8+'E Balans VL '!E8)/100/3.6*1000000</f>
        <v>0</v>
      </c>
      <c r="K12" s="33"/>
      <c r="L12" s="33"/>
      <c r="M12" s="33"/>
      <c r="N12" s="33">
        <f>$C$32*'E Balans VL '!Y8/100/3.6*1000000</f>
        <v>1150.4474034028578</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22982.242686971</v>
      </c>
      <c r="C16" s="21">
        <f t="shared" ca="1" si="1"/>
        <v>0</v>
      </c>
      <c r="D16" s="21">
        <f t="shared" ca="1" si="1"/>
        <v>8020.1003875405613</v>
      </c>
      <c r="E16" s="21">
        <f t="shared" si="1"/>
        <v>382.86734087595414</v>
      </c>
      <c r="F16" s="21">
        <f t="shared" ca="1" si="1"/>
        <v>5764.3029701609321</v>
      </c>
      <c r="G16" s="21">
        <f t="shared" si="1"/>
        <v>0</v>
      </c>
      <c r="H16" s="21">
        <f t="shared" si="1"/>
        <v>0</v>
      </c>
      <c r="I16" s="21">
        <f t="shared" si="1"/>
        <v>0</v>
      </c>
      <c r="J16" s="21">
        <f t="shared" si="1"/>
        <v>0</v>
      </c>
      <c r="K16" s="21">
        <f t="shared" si="1"/>
        <v>0</v>
      </c>
      <c r="L16" s="21">
        <f t="shared" ca="1" si="1"/>
        <v>0</v>
      </c>
      <c r="M16" s="21">
        <f t="shared" si="1"/>
        <v>0</v>
      </c>
      <c r="N16" s="21">
        <f t="shared" ca="1" si="1"/>
        <v>2572.8592787073712</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0.20797667754451249</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4779.7704765578983</v>
      </c>
      <c r="C20" s="23">
        <f t="shared" ref="C20:P20" ca="1" si="2">C16*C18</f>
        <v>0</v>
      </c>
      <c r="D20" s="23">
        <f t="shared" ca="1" si="2"/>
        <v>1620.0602782831934</v>
      </c>
      <c r="E20" s="23">
        <f t="shared" si="2"/>
        <v>86.910886378841596</v>
      </c>
      <c r="F20" s="23">
        <f t="shared" ca="1" si="2"/>
        <v>1539.0688930329688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5537.969623</v>
      </c>
      <c r="C26" s="39">
        <f>IF(ISERROR(B26*3.6/1000000/'E Balans VL '!Z12*100),0,B26*3.6/1000000/'E Balans VL '!Z12*100)</f>
        <v>0.11862761160573131</v>
      </c>
      <c r="D26" s="237" t="s">
        <v>660</v>
      </c>
      <c r="F26" s="6"/>
    </row>
    <row r="27" spans="1:18">
      <c r="A27" s="231" t="s">
        <v>53</v>
      </c>
      <c r="B27" s="33">
        <f>IF(ISERROR(TER_horeca_ele_kWh/1000),0,TER_horeca_ele_kWh/1000)</f>
        <v>258.67446133999999</v>
      </c>
      <c r="C27" s="39">
        <f>IF(ISERROR(B27*3.6/1000000/'E Balans VL '!Z9*100),0,B27*3.6/1000000/'E Balans VL '!Z9*100)</f>
        <v>2.0757726379285087E-2</v>
      </c>
      <c r="D27" s="237" t="s">
        <v>660</v>
      </c>
      <c r="F27" s="6"/>
    </row>
    <row r="28" spans="1:18">
      <c r="A28" s="171" t="s">
        <v>52</v>
      </c>
      <c r="B28" s="33">
        <f>IF(ISERROR(TER_handel_ele_kWh/1000),0,TER_handel_ele_kWh/1000)</f>
        <v>2198.9770515999999</v>
      </c>
      <c r="C28" s="39">
        <f>IF(ISERROR(B28*3.6/1000000/'E Balans VL '!Z13*100),0,B28*3.6/1000000/'E Balans VL '!Z13*100)</f>
        <v>6.4857210192916903E-2</v>
      </c>
      <c r="D28" s="237" t="s">
        <v>660</v>
      </c>
      <c r="F28" s="6"/>
    </row>
    <row r="29" spans="1:18">
      <c r="A29" s="231" t="s">
        <v>51</v>
      </c>
      <c r="B29" s="33">
        <f>IF(ISERROR(TER_gezond_ele_kWh/1000),0,TER_gezond_ele_kWh/1000)</f>
        <v>67.277645358000001</v>
      </c>
      <c r="C29" s="39">
        <f>IF(ISERROR(B29*3.6/1000000/'E Balans VL '!Z10*100),0,B29*3.6/1000000/'E Balans VL '!Z10*100)</f>
        <v>7.1834487429211094E-3</v>
      </c>
      <c r="D29" s="237" t="s">
        <v>660</v>
      </c>
      <c r="F29" s="6"/>
    </row>
    <row r="30" spans="1:18">
      <c r="A30" s="231" t="s">
        <v>50</v>
      </c>
      <c r="B30" s="33">
        <f>IF(ISERROR(TER_ander_ele_kWh/1000),0,TER_ander_ele_kWh/1000)</f>
        <v>1793.2832490000001</v>
      </c>
      <c r="C30" s="39">
        <f>IF(ISERROR(B30*3.6/1000000/'E Balans VL '!Z14*100),0,B30*3.6/1000000/'E Balans VL '!Z14*100)</f>
        <v>0.13545372573624043</v>
      </c>
      <c r="D30" s="237" t="s">
        <v>660</v>
      </c>
      <c r="F30" s="6"/>
    </row>
    <row r="31" spans="1:18">
      <c r="A31" s="231" t="s">
        <v>55</v>
      </c>
      <c r="B31" s="33">
        <f>IF(ISERROR(TER_onderwijs_ele_kWh/1000),0,TER_onderwijs_ele_kWh/1000)</f>
        <v>88.641297672999997</v>
      </c>
      <c r="C31" s="39">
        <f>IF(ISERROR(B31*3.6/1000000/'E Balans VL '!Z11*100),0,B31*3.6/1000000/'E Balans VL '!Z11*100)</f>
        <v>1.789963707529604E-2</v>
      </c>
      <c r="D31" s="237" t="s">
        <v>660</v>
      </c>
    </row>
    <row r="32" spans="1:18">
      <c r="A32" s="231" t="s">
        <v>260</v>
      </c>
      <c r="B32" s="33">
        <f>IF(ISERROR(TER_rest_ele_kWh/1000),0,TER_rest_ele_kWh/1000)</f>
        <v>13037.419359</v>
      </c>
      <c r="C32" s="39">
        <f>IF(ISERROR(B32*3.6/1000000/'E Balans VL '!Z8*100),0,B32*3.6/1000000/'E Balans VL '!Z8*100)</f>
        <v>0.10809836096159883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7</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338669.87387190992</v>
      </c>
      <c r="C5" s="17">
        <f>IF(ISERROR('Eigen informatie GS &amp; warmtenet'!B59),0,'Eigen informatie GS &amp; warmtenet'!B59)</f>
        <v>0</v>
      </c>
      <c r="D5" s="30">
        <f>SUM(D6:D15)</f>
        <v>354225.29863689211</v>
      </c>
      <c r="E5" s="17">
        <f>SUM(E6:E15)</f>
        <v>45031.453763239064</v>
      </c>
      <c r="F5" s="17">
        <f>SUM(F6:F15)</f>
        <v>160651.43111181594</v>
      </c>
      <c r="G5" s="18"/>
      <c r="H5" s="17"/>
      <c r="I5" s="17"/>
      <c r="J5" s="17">
        <f>SUM(J6:J15)</f>
        <v>207.96087195846582</v>
      </c>
      <c r="K5" s="17"/>
      <c r="L5" s="17"/>
      <c r="M5" s="17"/>
      <c r="N5" s="17">
        <f>SUM(N6:N15)</f>
        <v>63913.442937772183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298.41817558999998</v>
      </c>
      <c r="C8" s="33"/>
      <c r="D8" s="37">
        <f>IF( ISERROR(IND_metaal_Gas_kWH/1000),0,IND_metaal_Gas_kWH/1000)*0.902</f>
        <v>0</v>
      </c>
      <c r="E8" s="33">
        <f>C30*'E Balans VL '!I18/100/3.6*1000000</f>
        <v>10.737988733906757</v>
      </c>
      <c r="F8" s="33">
        <f>C30*'E Balans VL '!L18/100/3.6*1000000+C30*'E Balans VL '!N18/100/3.6*1000000</f>
        <v>130.30954360368997</v>
      </c>
      <c r="G8" s="34"/>
      <c r="H8" s="33"/>
      <c r="I8" s="33"/>
      <c r="J8" s="40">
        <f>C30*'E Balans VL '!D18/100/3.6*1000000+C30*'E Balans VL '!E18/100/3.6*1000000</f>
        <v>0</v>
      </c>
      <c r="K8" s="33"/>
      <c r="L8" s="33"/>
      <c r="M8" s="33"/>
      <c r="N8" s="33">
        <f>C30*'E Balans VL '!Y18/100/3.6*1000000</f>
        <v>14.956516163932235</v>
      </c>
      <c r="O8" s="33"/>
      <c r="P8" s="33"/>
      <c r="R8" s="32"/>
    </row>
    <row r="9" spans="1:18">
      <c r="A9" s="6" t="s">
        <v>33</v>
      </c>
      <c r="B9" s="37">
        <f t="shared" si="0"/>
        <v>169059.78884999998</v>
      </c>
      <c r="C9" s="33"/>
      <c r="D9" s="37">
        <f>IF( ISERROR(IND_andere_gas_kWh/1000),0,IND_andere_gas_kWh/1000)*0.902</f>
        <v>71072.136415522007</v>
      </c>
      <c r="E9" s="33">
        <f>C31*'E Balans VL '!I19/100/3.6*1000000</f>
        <v>43140.233029660623</v>
      </c>
      <c r="F9" s="33">
        <f>C31*'E Balans VL '!L19/100/3.6*1000000+C31*'E Balans VL '!N19/100/3.6*1000000</f>
        <v>145547.77117211322</v>
      </c>
      <c r="G9" s="34"/>
      <c r="H9" s="33"/>
      <c r="I9" s="33"/>
      <c r="J9" s="40">
        <f>C31*'E Balans VL '!D19/100/3.6*1000000+C31*'E Balans VL '!E19/100/3.6*1000000</f>
        <v>0</v>
      </c>
      <c r="K9" s="33"/>
      <c r="L9" s="33"/>
      <c r="M9" s="33"/>
      <c r="N9" s="33">
        <f>C31*'E Balans VL '!Y19/100/3.6*1000000</f>
        <v>52870.78566649463</v>
      </c>
      <c r="O9" s="33"/>
      <c r="P9" s="33"/>
      <c r="R9" s="32"/>
    </row>
    <row r="10" spans="1:18">
      <c r="A10" s="6" t="s">
        <v>41</v>
      </c>
      <c r="B10" s="37">
        <f t="shared" si="0"/>
        <v>14688.918664000001</v>
      </c>
      <c r="C10" s="33"/>
      <c r="D10" s="37">
        <f>IF( ISERROR(IND_voed_gas_kWh/1000),0,IND_voed_gas_kWh/1000)*0.902</f>
        <v>798.95725865010002</v>
      </c>
      <c r="E10" s="33">
        <f>C32*'E Balans VL '!I20/100/3.6*1000000</f>
        <v>373.41248197706523</v>
      </c>
      <c r="F10" s="33">
        <f>C32*'E Balans VL '!L20/100/3.6*1000000+C32*'E Balans VL '!N20/100/3.6*1000000</f>
        <v>3323.8817939781488</v>
      </c>
      <c r="G10" s="34"/>
      <c r="H10" s="33"/>
      <c r="I10" s="33"/>
      <c r="J10" s="40">
        <f>C32*'E Balans VL '!D20/100/3.6*1000000+C32*'E Balans VL '!E20/100/3.6*1000000</f>
        <v>0</v>
      </c>
      <c r="K10" s="33"/>
      <c r="L10" s="33"/>
      <c r="M10" s="33"/>
      <c r="N10" s="33">
        <f>C32*'E Balans VL '!Y20/100/3.6*1000000</f>
        <v>5508.7426578014311</v>
      </c>
      <c r="O10" s="33"/>
      <c r="P10" s="33"/>
      <c r="R10" s="32"/>
    </row>
    <row r="11" spans="1:18">
      <c r="A11" s="6" t="s">
        <v>40</v>
      </c>
      <c r="B11" s="37">
        <f t="shared" si="0"/>
        <v>132996.28974000001</v>
      </c>
      <c r="C11" s="33"/>
      <c r="D11" s="37">
        <f>IF( ISERROR(IND_textiel_gas_kWh/1000),0,IND_textiel_gas_kWh/1000)*0.902</f>
        <v>107596.91084669999</v>
      </c>
      <c r="E11" s="33">
        <f>C33*'E Balans VL '!I21/100/3.6*1000000</f>
        <v>365.11058107760101</v>
      </c>
      <c r="F11" s="33">
        <f>C33*'E Balans VL '!L21/100/3.6*1000000+C33*'E Balans VL '!N21/100/3.6*1000000</f>
        <v>7050.9090150559678</v>
      </c>
      <c r="G11" s="34"/>
      <c r="H11" s="33"/>
      <c r="I11" s="33"/>
      <c r="J11" s="40">
        <f>C33*'E Balans VL '!D21/100/3.6*1000000+C33*'E Balans VL '!E21/100/3.6*1000000</f>
        <v>0</v>
      </c>
      <c r="K11" s="33"/>
      <c r="L11" s="33"/>
      <c r="M11" s="33"/>
      <c r="N11" s="33">
        <f>C33*'E Balans VL '!Y21/100/3.6*1000000</f>
        <v>267.3005338047513</v>
      </c>
      <c r="O11" s="33"/>
      <c r="P11" s="33"/>
      <c r="R11" s="32"/>
    </row>
    <row r="12" spans="1:18">
      <c r="A12" s="6" t="s">
        <v>37</v>
      </c>
      <c r="B12" s="37">
        <f t="shared" si="0"/>
        <v>104.00718513</v>
      </c>
      <c r="C12" s="33"/>
      <c r="D12" s="37">
        <f>IF( ISERROR(IND_min_gas_kWh/1000),0,IND_min_gas_kWh/1000)*0.902</f>
        <v>0</v>
      </c>
      <c r="E12" s="33">
        <f>C34*'E Balans VL '!I22/100/3.6*1000000</f>
        <v>2.2098920188946103</v>
      </c>
      <c r="F12" s="33">
        <f>C34*'E Balans VL '!L22/100/3.6*1000000+C34*'E Balans VL '!N22/100/3.6*1000000</f>
        <v>16.969658613447905</v>
      </c>
      <c r="G12" s="34"/>
      <c r="H12" s="33"/>
      <c r="I12" s="33"/>
      <c r="J12" s="40">
        <f>C34*'E Balans VL '!D22/100/3.6*1000000+C34*'E Balans VL '!E22/100/3.6*1000000</f>
        <v>0.12117807668021287</v>
      </c>
      <c r="K12" s="33"/>
      <c r="L12" s="33"/>
      <c r="M12" s="33"/>
      <c r="N12" s="33">
        <f>C34*'E Balans VL '!Y22/100/3.6*1000000</f>
        <v>0</v>
      </c>
      <c r="O12" s="33"/>
      <c r="P12" s="33"/>
      <c r="R12" s="32"/>
    </row>
    <row r="13" spans="1:18">
      <c r="A13" s="6" t="s">
        <v>39</v>
      </c>
      <c r="B13" s="37">
        <f t="shared" si="0"/>
        <v>566.89613718999999</v>
      </c>
      <c r="C13" s="33"/>
      <c r="D13" s="37">
        <f>IF( ISERROR(IND_papier_gas_kWh/1000),0,IND_papier_gas_kWh/1000)*0.902</f>
        <v>0</v>
      </c>
      <c r="E13" s="33">
        <f>C35*'E Balans VL '!I23/100/3.6*1000000</f>
        <v>2.4312526122401636</v>
      </c>
      <c r="F13" s="33">
        <f>C35*'E Balans VL '!L23/100/3.6*1000000+C35*'E Balans VL '!N23/100/3.6*1000000</f>
        <v>14.247859461182552</v>
      </c>
      <c r="G13" s="34"/>
      <c r="H13" s="33"/>
      <c r="I13" s="33"/>
      <c r="J13" s="40">
        <f>C35*'E Balans VL '!D23/100/3.6*1000000+C35*'E Balans VL '!E23/100/3.6*1000000</f>
        <v>37.95058708746194</v>
      </c>
      <c r="K13" s="33"/>
      <c r="L13" s="33"/>
      <c r="M13" s="33"/>
      <c r="N13" s="33">
        <f>C35*'E Balans VL '!Y23/100/3.6*1000000</f>
        <v>1031.8857827306604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20955.555120000001</v>
      </c>
      <c r="C15" s="33"/>
      <c r="D15" s="37">
        <f>IF( ISERROR(IND_rest_gas_kWh/1000),0,IND_rest_gas_kWh/1000)*0.902</f>
        <v>174757.29411602</v>
      </c>
      <c r="E15" s="33">
        <f>C37*'E Balans VL '!I15/100/3.6*1000000</f>
        <v>1137.3185371587392</v>
      </c>
      <c r="F15" s="33">
        <f>C37*'E Balans VL '!L15/100/3.6*1000000+C37*'E Balans VL '!N15/100/3.6*1000000</f>
        <v>4567.3420689902796</v>
      </c>
      <c r="G15" s="34"/>
      <c r="H15" s="33"/>
      <c r="I15" s="33"/>
      <c r="J15" s="40">
        <f>C37*'E Balans VL '!D15/100/3.6*1000000+C37*'E Balans VL '!E15/100/3.6*1000000</f>
        <v>169.88910679432365</v>
      </c>
      <c r="K15" s="33"/>
      <c r="L15" s="33"/>
      <c r="M15" s="33"/>
      <c r="N15" s="33">
        <f>C37*'E Balans VL '!Y15/100/3.6*1000000</f>
        <v>4219.7717807767776</v>
      </c>
      <c r="O15" s="33"/>
      <c r="P15" s="33"/>
      <c r="R15" s="32"/>
    </row>
    <row r="16" spans="1:18">
      <c r="A16" s="16" t="s">
        <v>491</v>
      </c>
      <c r="B16" s="247">
        <f>'lokale energieproductie'!N89+'lokale energieproductie'!N58</f>
        <v>1143</v>
      </c>
      <c r="C16" s="247">
        <f>'lokale energieproductie'!O89+'lokale energieproductie'!O58</f>
        <v>1632.8571428571429</v>
      </c>
      <c r="D16" s="310">
        <f>('lokale energieproductie'!P58+'lokale energieproductie'!P89)*(-1)</f>
        <v>-3265.7142857142858</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339812.87387190992</v>
      </c>
      <c r="C18" s="21">
        <f>C5+C16</f>
        <v>1632.8571428571429</v>
      </c>
      <c r="D18" s="21">
        <f>MAX((D5+D16),0)</f>
        <v>350959.58435117785</v>
      </c>
      <c r="E18" s="21">
        <f>MAX((E5+E16),0)</f>
        <v>45031.453763239064</v>
      </c>
      <c r="F18" s="21">
        <f>MAX((F5+F16),0)</f>
        <v>160651.43111181594</v>
      </c>
      <c r="G18" s="21"/>
      <c r="H18" s="21"/>
      <c r="I18" s="21"/>
      <c r="J18" s="21">
        <f>MAX((J5+J16),0)</f>
        <v>207.96087195846582</v>
      </c>
      <c r="K18" s="21"/>
      <c r="L18" s="21">
        <f>MAX((L5+L16),0)</f>
        <v>0</v>
      </c>
      <c r="M18" s="21"/>
      <c r="N18" s="21">
        <f>MAX((N5+N16),0)</f>
        <v>63913.442937772183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0.20797667754451249</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70673.152494732305</v>
      </c>
      <c r="C22" s="23">
        <f ca="1">C18*C20</f>
        <v>388.04369747899159</v>
      </c>
      <c r="D22" s="23">
        <f>D18*D20</f>
        <v>70893.836038937938</v>
      </c>
      <c r="E22" s="23">
        <f>E18*E20</f>
        <v>10222.140004255269</v>
      </c>
      <c r="F22" s="23">
        <f>F18*F20</f>
        <v>42893.93210685486</v>
      </c>
      <c r="G22" s="23"/>
      <c r="H22" s="23"/>
      <c r="I22" s="23"/>
      <c r="J22" s="23">
        <f>J18*J20</f>
        <v>73.618148673296901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298.41817558999998</v>
      </c>
      <c r="C30" s="39">
        <f>IF(ISERROR(B30*3.6/1000000/'E Balans VL '!Z18*100),0,B30*3.6/1000000/'E Balans VL '!Z18*100)</f>
        <v>6.3228413490456922E-2</v>
      </c>
      <c r="D30" s="237" t="s">
        <v>660</v>
      </c>
    </row>
    <row r="31" spans="1:18">
      <c r="A31" s="6" t="s">
        <v>33</v>
      </c>
      <c r="B31" s="37">
        <f>IF( ISERROR(IND_ander_ele_kWh/1000),0,IND_ander_ele_kWh/1000)</f>
        <v>169059.78884999998</v>
      </c>
      <c r="C31" s="39">
        <f>IF(ISERROR(B31*3.6/1000000/'E Balans VL '!Z19*100),0,B31*3.6/1000000/'E Balans VL '!Z19*100)</f>
        <v>7.1161103908649741</v>
      </c>
      <c r="D31" s="237" t="s">
        <v>660</v>
      </c>
    </row>
    <row r="32" spans="1:18">
      <c r="A32" s="171" t="s">
        <v>41</v>
      </c>
      <c r="B32" s="37">
        <f>IF( ISERROR(IND_voed_ele_kWh/1000),0,IND_voed_ele_kWh/1000)</f>
        <v>14688.918664000001</v>
      </c>
      <c r="C32" s="39">
        <f>IF(ISERROR(B32*3.6/1000000/'E Balans VL '!Z20*100),0,B32*3.6/1000000/'E Balans VL '!Z20*100)</f>
        <v>2.4539500565056347</v>
      </c>
      <c r="D32" s="237" t="s">
        <v>660</v>
      </c>
    </row>
    <row r="33" spans="1:5">
      <c r="A33" s="171" t="s">
        <v>40</v>
      </c>
      <c r="B33" s="37">
        <f>IF( ISERROR(IND_textiel_ele_kWh/1000),0,IND_textiel_ele_kWh/1000)</f>
        <v>132996.28974000001</v>
      </c>
      <c r="C33" s="39">
        <f>IF(ISERROR(B33*3.6/1000000/'E Balans VL '!Z21*100),0,B33*3.6/1000000/'E Balans VL '!Z21*100)</f>
        <v>7.7647213886638005</v>
      </c>
      <c r="D33" s="237" t="s">
        <v>660</v>
      </c>
    </row>
    <row r="34" spans="1:5">
      <c r="A34" s="171" t="s">
        <v>37</v>
      </c>
      <c r="B34" s="37">
        <f>IF( ISERROR(IND_min_ele_kWh/1000),0,IND_min_ele_kWh/1000)</f>
        <v>104.00718513</v>
      </c>
      <c r="C34" s="39">
        <f>IF(ISERROR(B34*3.6/1000000/'E Balans VL '!Z22*100),0,B34*3.6/1000000/'E Balans VL '!Z22*100)</f>
        <v>1.3183471624320282E-2</v>
      </c>
      <c r="D34" s="237" t="s">
        <v>660</v>
      </c>
    </row>
    <row r="35" spans="1:5">
      <c r="A35" s="171" t="s">
        <v>39</v>
      </c>
      <c r="B35" s="37">
        <f>IF( ISERROR(IND_papier_ele_kWh/1000),0,IND_papier_ele_kWh/1000)</f>
        <v>566.89613718999999</v>
      </c>
      <c r="C35" s="39">
        <f>IF(ISERROR(B35*3.6/1000000/'E Balans VL '!Z22*100),0,B35*3.6/1000000/'E Balans VL '!Z22*100)</f>
        <v>7.1857142650670849E-2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20955.555120000001</v>
      </c>
      <c r="C37" s="39">
        <f>IF(ISERROR(B37*3.6/1000000/'E Balans VL '!Z15*100),0,B37*3.6/1000000/'E Balans VL '!Z15*100)</f>
        <v>0.16918231084661414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1115.0389030900001</v>
      </c>
      <c r="C5" s="17">
        <f>'Eigen informatie GS &amp; warmtenet'!B60</f>
        <v>0</v>
      </c>
      <c r="D5" s="30">
        <f>IF(ISERROR(SUM(LB_lb_gas_kWh,LB_rest_gas_kWh,onbekend_gas_kWh)/1000),0,SUM(LB_lb_gas_kWh,LB_rest_gas_kWh,onbekend_gas_kWh)/1000)*0.902</f>
        <v>1052.1820559036601</v>
      </c>
      <c r="E5" s="17">
        <f>B17*'E Balans VL '!I25/3.6*1000000/100</f>
        <v>28.752572056279423</v>
      </c>
      <c r="F5" s="17">
        <f>B17*('E Balans VL '!L25/3.6*1000000+'E Balans VL '!N25/3.6*1000000)/100</f>
        <v>4075.6795396377438</v>
      </c>
      <c r="G5" s="18"/>
      <c r="H5" s="17"/>
      <c r="I5" s="17"/>
      <c r="J5" s="17">
        <f>('E Balans VL '!D25+'E Balans VL '!E25)/3.6*1000000*landbouw!B17/100</f>
        <v>160.52458349120775</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1115.0389030900001</v>
      </c>
      <c r="C8" s="21">
        <f>C5+C6</f>
        <v>0</v>
      </c>
      <c r="D8" s="21">
        <f>MAX((D5+D6),0)</f>
        <v>1052.1820559036601</v>
      </c>
      <c r="E8" s="21">
        <f>MAX((E5+E6),0)</f>
        <v>28.752572056279423</v>
      </c>
      <c r="F8" s="21">
        <f>MAX((F5+F6),0)</f>
        <v>4075.6795396377438</v>
      </c>
      <c r="G8" s="21"/>
      <c r="H8" s="21"/>
      <c r="I8" s="21"/>
      <c r="J8" s="21">
        <f>MAX((J5+J6),0)</f>
        <v>160.52458349120775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0.20797667754451249</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231.90208639753587</v>
      </c>
      <c r="C12" s="23">
        <f ca="1">C8*C10</f>
        <v>0</v>
      </c>
      <c r="D12" s="23">
        <f>D8*D10</f>
        <v>212.54077529253934</v>
      </c>
      <c r="E12" s="23">
        <f>E8*E10</f>
        <v>6.5268338567754292</v>
      </c>
      <c r="F12" s="23">
        <f>F8*F10</f>
        <v>1088.2064370832777</v>
      </c>
      <c r="G12" s="23"/>
      <c r="H12" s="23"/>
      <c r="I12" s="23"/>
      <c r="J12" s="23">
        <f>J8*J10</f>
        <v>56.825702555887538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0.15722787118777204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223.51989369614574</v>
      </c>
      <c r="C26" s="247">
        <f>B26*'GWP N2O_CH4'!B5</f>
        <v>4693.9177676190602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124.29024701496287</v>
      </c>
      <c r="C27" s="247">
        <f>B27*'GWP N2O_CH4'!B5</f>
        <v>2610.0951873142203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3.6864172196949685</v>
      </c>
      <c r="C28" s="247">
        <f>B28*'GWP N2O_CH4'!B4</f>
        <v>1142.7893381054403</v>
      </c>
      <c r="D28" s="50"/>
    </row>
    <row r="29" spans="1:4">
      <c r="A29" s="41" t="s">
        <v>277</v>
      </c>
      <c r="B29" s="247">
        <f>B34*'ha_N2O bodem landbouw'!B4</f>
        <v>6.7029637597534357</v>
      </c>
      <c r="C29" s="247">
        <f>B29*'GWP N2O_CH4'!B4</f>
        <v>2077.9187655235651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1.5085310955910299E-3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3.3643759190825558E-5</v>
      </c>
      <c r="C5" s="463" t="s">
        <v>211</v>
      </c>
      <c r="D5" s="448">
        <f>SUM(D6:D11)</f>
        <v>8.626043805625081E-5</v>
      </c>
      <c r="E5" s="448">
        <f>SUM(E6:E11)</f>
        <v>3.2627205181980556E-4</v>
      </c>
      <c r="F5" s="461" t="s">
        <v>211</v>
      </c>
      <c r="G5" s="448">
        <f>SUM(G6:G11)</f>
        <v>0.15224390940964982</v>
      </c>
      <c r="H5" s="448">
        <f>SUM(H6:H11)</f>
        <v>2.3011388854873742E-2</v>
      </c>
      <c r="I5" s="463" t="s">
        <v>211</v>
      </c>
      <c r="J5" s="463" t="s">
        <v>211</v>
      </c>
      <c r="K5" s="463" t="s">
        <v>211</v>
      </c>
      <c r="L5" s="463" t="s">
        <v>211</v>
      </c>
      <c r="M5" s="448">
        <f>SUM(M6:M11)</f>
        <v>5.4856833155577977E-3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2.0968166886743492E-5</v>
      </c>
      <c r="C6" s="449"/>
      <c r="D6" s="962">
        <f>vkm_2011_GW_PW*SUMIFS(TableVerdeelsleutelVkm[CNG],TableVerdeelsleutelVkm[Voertuigtype],"Lichte voertuigen")*SUMIFS(TableECFTransport[EnergieConsumptieFactor (PJ per km)],TableECFTransport[Index],CONCATENATE($A6,"_CNG_CNG"))</f>
        <v>4.1664114893577182E-5</v>
      </c>
      <c r="E6" s="962">
        <f>vkm_2011_GW_PW*SUMIFS(TableVerdeelsleutelVkm[LPG],TableVerdeelsleutelVkm[Voertuigtype],"Lichte voertuigen")*SUMIFS(TableECFTransport[EnergieConsumptieFactor (PJ per km)],TableECFTransport[Index],CONCATENATE($A6,"_LPG_LPG"))</f>
        <v>1.6396322757178636E-4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3.8984829610176658E-2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1.1279729338877061E-2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1.5662900718248862E-3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5.0169517617338177E-2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1.6206897106481424E-5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1.5807647369441842E-3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1.2675592304082068E-5</v>
      </c>
      <c r="C8" s="449"/>
      <c r="D8" s="451">
        <f>vkm_2011_NGW_PW*SUMIFS(TableVerdeelsleutelVkm[CNG],TableVerdeelsleutelVkm[Voertuigtype],"Lichte voertuigen")*SUMIFS(TableECFTransport[EnergieConsumptieFactor (PJ per km)],TableECFTransport[Index],CONCATENATE($A8,"_CNG_CNG"))</f>
        <v>4.4596323162673634E-5</v>
      </c>
      <c r="E8" s="451">
        <f>vkm_2011_NGW_PW*SUMIFS(TableVerdeelsleutelVkm[LPG],TableVerdeelsleutelVkm[Voertuigtype],"Lichte voertuigen")*SUMIFS(TableECFTransport[EnergieConsumptieFactor (PJ per km)],TableECFTransport[Index],CONCATENATE($A8,"_LPG_LPG"))</f>
        <v>1.6230882424801918E-4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3.6037121650226309E-2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1.1707187868927209E-2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1.4862617250217338E-3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2.7052440531908691E-2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8.2647499629914051E-6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8.5236678176699328E-4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9.3454886641182107</v>
      </c>
      <c r="C14" s="21"/>
      <c r="D14" s="21">
        <f t="shared" ref="D14:M14" si="0">((D5)*10^9/3600)+D12</f>
        <v>23.961232793403003</v>
      </c>
      <c r="E14" s="21">
        <f t="shared" si="0"/>
        <v>90.631125505501544</v>
      </c>
      <c r="F14" s="21"/>
      <c r="G14" s="21">
        <f t="shared" si="0"/>
        <v>42289.97483601384</v>
      </c>
      <c r="H14" s="21">
        <f t="shared" si="0"/>
        <v>6392.052459687151</v>
      </c>
      <c r="I14" s="21"/>
      <c r="J14" s="21"/>
      <c r="K14" s="21"/>
      <c r="L14" s="21"/>
      <c r="M14" s="21">
        <f t="shared" si="0"/>
        <v>1523.8009209882771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0.20797667754451249</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1.9436436823932099</v>
      </c>
      <c r="C18" s="23"/>
      <c r="D18" s="23">
        <f t="shared" ref="D18:M18" si="1">D14*D16</f>
        <v>4.8401690242674071</v>
      </c>
      <c r="E18" s="23">
        <f t="shared" si="1"/>
        <v>20.573265489748852</v>
      </c>
      <c r="F18" s="23"/>
      <c r="G18" s="23">
        <f t="shared" si="1"/>
        <v>11291.423281215695</v>
      </c>
      <c r="H18" s="23">
        <f t="shared" si="1"/>
        <v>1591.6210624621006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1.3895328017403147E-3</v>
      </c>
      <c r="H50" s="321">
        <f t="shared" si="2"/>
        <v>0</v>
      </c>
      <c r="I50" s="321">
        <f t="shared" si="2"/>
        <v>0</v>
      </c>
      <c r="J50" s="321">
        <f t="shared" si="2"/>
        <v>0</v>
      </c>
      <c r="K50" s="321">
        <f t="shared" si="2"/>
        <v>0</v>
      </c>
      <c r="L50" s="321">
        <f t="shared" si="2"/>
        <v>0</v>
      </c>
      <c r="M50" s="321">
        <f t="shared" si="2"/>
        <v>4.3100198872089638E-5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1.3895328017403147E-3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4.3100198872089638E-5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385.9813338167541</v>
      </c>
      <c r="H54" s="21">
        <f t="shared" si="3"/>
        <v>0</v>
      </c>
      <c r="I54" s="21">
        <f t="shared" si="3"/>
        <v>0</v>
      </c>
      <c r="J54" s="21">
        <f t="shared" si="3"/>
        <v>0</v>
      </c>
      <c r="K54" s="21">
        <f t="shared" si="3"/>
        <v>0</v>
      </c>
      <c r="L54" s="21">
        <f t="shared" si="3"/>
        <v>0</v>
      </c>
      <c r="M54" s="21">
        <f t="shared" si="3"/>
        <v>11.972277464469345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0.20797667754451249</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103.05701612907335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12169.807208050885</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10348.680295891378</v>
      </c>
      <c r="C6" s="1203"/>
      <c r="D6" s="1188"/>
      <c r="E6" s="1188"/>
      <c r="F6" s="1206"/>
      <c r="G6" s="1209"/>
      <c r="H6" s="1200"/>
      <c r="I6" s="1188"/>
      <c r="J6" s="1188"/>
      <c r="K6" s="1188"/>
      <c r="L6" s="1192"/>
      <c r="M6" s="575"/>
      <c r="N6" s="1166"/>
      <c r="O6" s="1167"/>
      <c r="Q6" s="573"/>
      <c r="R6" s="1154"/>
      <c r="S6" s="1154"/>
    </row>
    <row r="7" spans="1:19" s="563" customFormat="1">
      <c r="A7" s="576" t="s">
        <v>252</v>
      </c>
      <c r="B7" s="577">
        <f>N57</f>
        <v>1143</v>
      </c>
      <c r="C7" s="578">
        <f>B100</f>
        <v>1344.7058823529412</v>
      </c>
      <c r="D7" s="579"/>
      <c r="E7" s="579">
        <f>E100</f>
        <v>0</v>
      </c>
      <c r="F7" s="580"/>
      <c r="G7" s="581"/>
      <c r="H7" s="579">
        <f>I100</f>
        <v>0</v>
      </c>
      <c r="I7" s="579">
        <f>G100+F100</f>
        <v>0</v>
      </c>
      <c r="J7" s="579">
        <f>H100+D100+C100</f>
        <v>0</v>
      </c>
      <c r="K7" s="579"/>
      <c r="L7" s="582"/>
      <c r="M7" s="583">
        <f>C7*$C$11+D7*$D$11+E7*$E$11+F7*$F$11+G7*$G$11+H7*$H$11+I7*$I$11+J7*$J$11</f>
        <v>271.63058823529417</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23661.487503942262</v>
      </c>
      <c r="C9" s="594">
        <f t="shared" ref="C9:L9" si="0">SUM(C7:C8)</f>
        <v>1344.7058823529412</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271.63058823529417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1632.8571428571429</v>
      </c>
      <c r="C16" s="610">
        <f>B101</f>
        <v>1921.0084033613443</v>
      </c>
      <c r="D16" s="611"/>
      <c r="E16" s="611">
        <f>E101</f>
        <v>0</v>
      </c>
      <c r="F16" s="612"/>
      <c r="G16" s="613"/>
      <c r="H16" s="610">
        <f>I101</f>
        <v>0</v>
      </c>
      <c r="I16" s="611">
        <f>G101+F101</f>
        <v>0</v>
      </c>
      <c r="J16" s="611">
        <f>H101+D101+C101</f>
        <v>0</v>
      </c>
      <c r="K16" s="611"/>
      <c r="L16" s="614"/>
      <c r="M16" s="615">
        <f>C16*$C$21+E16*$E$21+H16*$H$21+I16*$I$21+J16*$J$21+D16*$D$21+F16*$F$21+G16*$G$21+K16*$K$21+L16*$L$21</f>
        <v>388.04369747899159</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1632.8571428571429</v>
      </c>
      <c r="C19" s="593">
        <f>SUM(C16:C18)</f>
        <v>1921.0084033613443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388.04369747899159</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37017</v>
      </c>
      <c r="C27" s="851">
        <v>8710</v>
      </c>
      <c r="D27" s="672" t="s">
        <v>818</v>
      </c>
      <c r="E27" s="671" t="s">
        <v>819</v>
      </c>
      <c r="F27" s="671" t="s">
        <v>820</v>
      </c>
      <c r="G27" s="671" t="s">
        <v>821</v>
      </c>
      <c r="H27" s="671" t="s">
        <v>822</v>
      </c>
      <c r="I27" s="671" t="s">
        <v>819</v>
      </c>
      <c r="J27" s="850">
        <v>40039</v>
      </c>
      <c r="K27" s="850">
        <v>40120</v>
      </c>
      <c r="L27" s="671" t="s">
        <v>823</v>
      </c>
      <c r="M27" s="671">
        <v>254</v>
      </c>
      <c r="N27" s="671">
        <v>1143</v>
      </c>
      <c r="O27" s="671">
        <v>1632.8571428571429</v>
      </c>
      <c r="P27" s="671">
        <v>3265.7142857142858</v>
      </c>
      <c r="Q27" s="671">
        <v>0</v>
      </c>
      <c r="R27" s="671">
        <v>0</v>
      </c>
      <c r="S27" s="671">
        <v>0</v>
      </c>
      <c r="T27" s="671">
        <v>0</v>
      </c>
      <c r="U27" s="671">
        <v>0</v>
      </c>
      <c r="V27" s="671">
        <v>0</v>
      </c>
      <c r="W27" s="671">
        <v>0</v>
      </c>
      <c r="X27" s="671">
        <v>400</v>
      </c>
      <c r="Y27" s="671" t="s">
        <v>37</v>
      </c>
      <c r="Z27" s="673" t="s">
        <v>389</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254</v>
      </c>
      <c r="N57" s="629">
        <f>SUM(N27:N56)</f>
        <v>1143</v>
      </c>
      <c r="O57" s="629">
        <f t="shared" ref="O57:W57" si="2">SUM(O27:O56)</f>
        <v>1632.8571428571429</v>
      </c>
      <c r="P57" s="629">
        <f t="shared" si="2"/>
        <v>3265.7142857142858</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254</v>
      </c>
      <c r="N58" s="629">
        <f t="shared" ref="N58:W58" si="3">SUMIF($Z$27:$Z$56,"industrie",N27:N56)</f>
        <v>1143</v>
      </c>
      <c r="O58" s="629">
        <f t="shared" si="3"/>
        <v>1632.8571428571429</v>
      </c>
      <c r="P58" s="629">
        <f t="shared" si="3"/>
        <v>3265.7142857142858</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1344.7058823529412</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1921.0084033613443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23963.225686971</v>
      </c>
      <c r="D10" s="718">
        <f ca="1">tertiair!C16</f>
        <v>0</v>
      </c>
      <c r="E10" s="718">
        <f ca="1">tertiair!D16</f>
        <v>8020.1003875405613</v>
      </c>
      <c r="F10" s="718">
        <f>tertiair!E16</f>
        <v>382.86734087595414</v>
      </c>
      <c r="G10" s="718">
        <f ca="1">tertiair!F16</f>
        <v>5764.3029701609321</v>
      </c>
      <c r="H10" s="718">
        <f>tertiair!G16</f>
        <v>0</v>
      </c>
      <c r="I10" s="718">
        <f>tertiair!H16</f>
        <v>0</v>
      </c>
      <c r="J10" s="718">
        <f>tertiair!I16</f>
        <v>0</v>
      </c>
      <c r="K10" s="718">
        <f>tertiair!J16</f>
        <v>0</v>
      </c>
      <c r="L10" s="718">
        <f>tertiair!K16</f>
        <v>0</v>
      </c>
      <c r="M10" s="718">
        <f ca="1">tertiair!L16</f>
        <v>0</v>
      </c>
      <c r="N10" s="718">
        <f>tertiair!M16</f>
        <v>0</v>
      </c>
      <c r="O10" s="718">
        <f ca="1">tertiair!N16</f>
        <v>2572.8592787073712</v>
      </c>
      <c r="P10" s="718">
        <f>tertiair!O16</f>
        <v>4.6900000000000004</v>
      </c>
      <c r="Q10" s="719">
        <f>tertiair!P16</f>
        <v>133.46666666666667</v>
      </c>
      <c r="R10" s="721">
        <f ca="1">SUM(C10:Q10)</f>
        <v>40841.512330922487</v>
      </c>
      <c r="S10" s="67"/>
    </row>
    <row r="11" spans="1:19" s="474" customFormat="1">
      <c r="A11" s="870" t="s">
        <v>225</v>
      </c>
      <c r="B11" s="875"/>
      <c r="C11" s="718">
        <f>huishoudens!B8</f>
        <v>15767.211799079827</v>
      </c>
      <c r="D11" s="718">
        <f>huishoudens!C8</f>
        <v>0</v>
      </c>
      <c r="E11" s="718">
        <f>huishoudens!D8</f>
        <v>29474.516553240002</v>
      </c>
      <c r="F11" s="718">
        <f>huishoudens!E8</f>
        <v>2740.1660576940085</v>
      </c>
      <c r="G11" s="718">
        <f>huishoudens!F8</f>
        <v>15532.728555611528</v>
      </c>
      <c r="H11" s="718">
        <f>huishoudens!G8</f>
        <v>0</v>
      </c>
      <c r="I11" s="718">
        <f>huishoudens!H8</f>
        <v>0</v>
      </c>
      <c r="J11" s="718">
        <f>huishoudens!I8</f>
        <v>0</v>
      </c>
      <c r="K11" s="718">
        <f>huishoudens!J8</f>
        <v>120.7228624715962</v>
      </c>
      <c r="L11" s="718">
        <f>huishoudens!K8</f>
        <v>0</v>
      </c>
      <c r="M11" s="718">
        <f>huishoudens!L8</f>
        <v>0</v>
      </c>
      <c r="N11" s="718">
        <f>huishoudens!M8</f>
        <v>0</v>
      </c>
      <c r="O11" s="718">
        <f>huishoudens!N8</f>
        <v>10775.426325474635</v>
      </c>
      <c r="P11" s="718">
        <f>huishoudens!O8</f>
        <v>204.79666666666668</v>
      </c>
      <c r="Q11" s="719">
        <f>huishoudens!P8</f>
        <v>591.06666666666661</v>
      </c>
      <c r="R11" s="721">
        <f>SUM(C11:Q11)</f>
        <v>75206.63548690491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339812.87387190992</v>
      </c>
      <c r="D13" s="718">
        <f>industrie!C18</f>
        <v>1632.8571428571429</v>
      </c>
      <c r="E13" s="718">
        <f>industrie!D18</f>
        <v>350959.58435117785</v>
      </c>
      <c r="F13" s="718">
        <f>industrie!E18</f>
        <v>45031.453763239064</v>
      </c>
      <c r="G13" s="718">
        <f>industrie!F18</f>
        <v>160651.43111181594</v>
      </c>
      <c r="H13" s="718">
        <f>industrie!G18</f>
        <v>0</v>
      </c>
      <c r="I13" s="718">
        <f>industrie!H18</f>
        <v>0</v>
      </c>
      <c r="J13" s="718">
        <f>industrie!I18</f>
        <v>0</v>
      </c>
      <c r="K13" s="718">
        <f>industrie!J18</f>
        <v>207.96087195846582</v>
      </c>
      <c r="L13" s="718">
        <f>industrie!K18</f>
        <v>0</v>
      </c>
      <c r="M13" s="718">
        <f>industrie!L18</f>
        <v>0</v>
      </c>
      <c r="N13" s="718">
        <f>industrie!M18</f>
        <v>0</v>
      </c>
      <c r="O13" s="718">
        <f>industrie!N18</f>
        <v>63913.442937772183</v>
      </c>
      <c r="P13" s="718">
        <f>industrie!O18</f>
        <v>0</v>
      </c>
      <c r="Q13" s="719">
        <f>industrie!P18</f>
        <v>0</v>
      </c>
      <c r="R13" s="721">
        <f>SUM(C13:Q13)</f>
        <v>962209.6040507307</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379543.31135796075</v>
      </c>
      <c r="D15" s="723">
        <f t="shared" ref="D15:Q15" ca="1" si="0">SUM(D9:D14)</f>
        <v>1632.8571428571429</v>
      </c>
      <c r="E15" s="723">
        <f t="shared" ca="1" si="0"/>
        <v>388454.20129195839</v>
      </c>
      <c r="F15" s="723">
        <f t="shared" si="0"/>
        <v>48154.487161809026</v>
      </c>
      <c r="G15" s="723">
        <f t="shared" ca="1" si="0"/>
        <v>181948.46263758838</v>
      </c>
      <c r="H15" s="723">
        <f t="shared" si="0"/>
        <v>0</v>
      </c>
      <c r="I15" s="723">
        <f t="shared" si="0"/>
        <v>0</v>
      </c>
      <c r="J15" s="723">
        <f t="shared" si="0"/>
        <v>0</v>
      </c>
      <c r="K15" s="723">
        <f t="shared" si="0"/>
        <v>328.68373443006203</v>
      </c>
      <c r="L15" s="723">
        <f t="shared" si="0"/>
        <v>0</v>
      </c>
      <c r="M15" s="723">
        <f t="shared" ca="1" si="0"/>
        <v>0</v>
      </c>
      <c r="N15" s="723">
        <f t="shared" si="0"/>
        <v>0</v>
      </c>
      <c r="O15" s="723">
        <f t="shared" ca="1" si="0"/>
        <v>77261.728541954188</v>
      </c>
      <c r="P15" s="723">
        <f t="shared" si="0"/>
        <v>209.48666666666668</v>
      </c>
      <c r="Q15" s="724">
        <f t="shared" si="0"/>
        <v>724.5333333333333</v>
      </c>
      <c r="R15" s="725">
        <f ca="1">SUM(R9:R14)</f>
        <v>1078257.7518685581</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385.9813338167541</v>
      </c>
      <c r="I18" s="718">
        <f>transport!H54</f>
        <v>0</v>
      </c>
      <c r="J18" s="718">
        <f>transport!I54</f>
        <v>0</v>
      </c>
      <c r="K18" s="718">
        <f>transport!J54</f>
        <v>0</v>
      </c>
      <c r="L18" s="718">
        <f>transport!K54</f>
        <v>0</v>
      </c>
      <c r="M18" s="718">
        <f>transport!L54</f>
        <v>0</v>
      </c>
      <c r="N18" s="718">
        <f>transport!M54</f>
        <v>11.972277464469345</v>
      </c>
      <c r="O18" s="718">
        <f>transport!N54</f>
        <v>0</v>
      </c>
      <c r="P18" s="718">
        <f>transport!O54</f>
        <v>0</v>
      </c>
      <c r="Q18" s="719">
        <f>transport!P54</f>
        <v>0</v>
      </c>
      <c r="R18" s="721">
        <f>SUM(C18:Q18)</f>
        <v>397.95361128122346</v>
      </c>
      <c r="S18" s="67"/>
    </row>
    <row r="19" spans="1:19" s="474" customFormat="1" ht="15" thickBot="1">
      <c r="A19" s="870" t="s">
        <v>307</v>
      </c>
      <c r="B19" s="875"/>
      <c r="C19" s="727">
        <f>transport!B14</f>
        <v>9.3454886641182107</v>
      </c>
      <c r="D19" s="727">
        <f>transport!C14</f>
        <v>0</v>
      </c>
      <c r="E19" s="727">
        <f>transport!D14</f>
        <v>23.961232793403003</v>
      </c>
      <c r="F19" s="727">
        <f>transport!E14</f>
        <v>90.631125505501544</v>
      </c>
      <c r="G19" s="727">
        <f>transport!F14</f>
        <v>0</v>
      </c>
      <c r="H19" s="727">
        <f>transport!G14</f>
        <v>42289.97483601384</v>
      </c>
      <c r="I19" s="727">
        <f>transport!H14</f>
        <v>6392.052459687151</v>
      </c>
      <c r="J19" s="727">
        <f>transport!I14</f>
        <v>0</v>
      </c>
      <c r="K19" s="727">
        <f>transport!J14</f>
        <v>0</v>
      </c>
      <c r="L19" s="727">
        <f>transport!K14</f>
        <v>0</v>
      </c>
      <c r="M19" s="727">
        <f>transport!L14</f>
        <v>0</v>
      </c>
      <c r="N19" s="727">
        <f>transport!M14</f>
        <v>1523.8009209882771</v>
      </c>
      <c r="O19" s="727">
        <f>transport!N14</f>
        <v>0</v>
      </c>
      <c r="P19" s="727">
        <f>transport!O14</f>
        <v>0</v>
      </c>
      <c r="Q19" s="728">
        <f>transport!P14</f>
        <v>0</v>
      </c>
      <c r="R19" s="729">
        <f>SUM(C19:Q19)</f>
        <v>50329.7660636523</v>
      </c>
      <c r="S19" s="67"/>
    </row>
    <row r="20" spans="1:19" s="474" customFormat="1" ht="15.75" thickBot="1">
      <c r="A20" s="730" t="s">
        <v>230</v>
      </c>
      <c r="B20" s="878"/>
      <c r="C20" s="873">
        <f>SUM(C17:C19)</f>
        <v>9.3454886641182107</v>
      </c>
      <c r="D20" s="731">
        <f t="shared" ref="D20:R20" si="1">SUM(D17:D19)</f>
        <v>0</v>
      </c>
      <c r="E20" s="731">
        <f t="shared" si="1"/>
        <v>23.961232793403003</v>
      </c>
      <c r="F20" s="731">
        <f t="shared" si="1"/>
        <v>90.631125505501544</v>
      </c>
      <c r="G20" s="731">
        <f t="shared" si="1"/>
        <v>0</v>
      </c>
      <c r="H20" s="731">
        <f t="shared" si="1"/>
        <v>42675.956169830592</v>
      </c>
      <c r="I20" s="731">
        <f t="shared" si="1"/>
        <v>6392.052459687151</v>
      </c>
      <c r="J20" s="731">
        <f t="shared" si="1"/>
        <v>0</v>
      </c>
      <c r="K20" s="731">
        <f t="shared" si="1"/>
        <v>0</v>
      </c>
      <c r="L20" s="731">
        <f t="shared" si="1"/>
        <v>0</v>
      </c>
      <c r="M20" s="731">
        <f t="shared" si="1"/>
        <v>0</v>
      </c>
      <c r="N20" s="731">
        <f t="shared" si="1"/>
        <v>1535.7731984527463</v>
      </c>
      <c r="O20" s="731">
        <f t="shared" si="1"/>
        <v>0</v>
      </c>
      <c r="P20" s="731">
        <f t="shared" si="1"/>
        <v>0</v>
      </c>
      <c r="Q20" s="732">
        <f t="shared" si="1"/>
        <v>0</v>
      </c>
      <c r="R20" s="733">
        <f t="shared" si="1"/>
        <v>50727.71967493352</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1115.0389030900001</v>
      </c>
      <c r="D22" s="727">
        <f>+landbouw!C8</f>
        <v>0</v>
      </c>
      <c r="E22" s="727">
        <f>+landbouw!D8</f>
        <v>1052.1820559036601</v>
      </c>
      <c r="F22" s="727">
        <f>+landbouw!E8</f>
        <v>28.752572056279423</v>
      </c>
      <c r="G22" s="727">
        <f>+landbouw!F8</f>
        <v>4075.6795396377438</v>
      </c>
      <c r="H22" s="727">
        <f>+landbouw!G8</f>
        <v>0</v>
      </c>
      <c r="I22" s="727">
        <f>+landbouw!H8</f>
        <v>0</v>
      </c>
      <c r="J22" s="727">
        <f>+landbouw!I8</f>
        <v>0</v>
      </c>
      <c r="K22" s="727">
        <f>+landbouw!J8</f>
        <v>160.52458349120775</v>
      </c>
      <c r="L22" s="727">
        <f>+landbouw!K8</f>
        <v>0</v>
      </c>
      <c r="M22" s="727">
        <f>+landbouw!L8</f>
        <v>0</v>
      </c>
      <c r="N22" s="727">
        <f>+landbouw!M8</f>
        <v>0</v>
      </c>
      <c r="O22" s="727">
        <f>+landbouw!N8</f>
        <v>0</v>
      </c>
      <c r="P22" s="727">
        <f>+landbouw!O8</f>
        <v>0</v>
      </c>
      <c r="Q22" s="728">
        <f>+landbouw!P8</f>
        <v>0</v>
      </c>
      <c r="R22" s="729">
        <f>SUM(C22:Q22)</f>
        <v>6432.1776541788913</v>
      </c>
      <c r="S22" s="67"/>
    </row>
    <row r="23" spans="1:19" s="474" customFormat="1" ht="17.25" thickTop="1" thickBot="1">
      <c r="A23" s="734" t="s">
        <v>116</v>
      </c>
      <c r="B23" s="864"/>
      <c r="C23" s="735">
        <f ca="1">C20+C15+C22</f>
        <v>380667.69574971485</v>
      </c>
      <c r="D23" s="735">
        <f t="shared" ref="D23:Q23" ca="1" si="2">D20+D15+D22</f>
        <v>1632.8571428571429</v>
      </c>
      <c r="E23" s="735">
        <f t="shared" ca="1" si="2"/>
        <v>389530.34458065545</v>
      </c>
      <c r="F23" s="735">
        <f t="shared" si="2"/>
        <v>48273.870859370807</v>
      </c>
      <c r="G23" s="735">
        <f t="shared" ca="1" si="2"/>
        <v>186024.14217722614</v>
      </c>
      <c r="H23" s="735">
        <f t="shared" si="2"/>
        <v>42675.956169830592</v>
      </c>
      <c r="I23" s="735">
        <f t="shared" si="2"/>
        <v>6392.052459687151</v>
      </c>
      <c r="J23" s="735">
        <f t="shared" si="2"/>
        <v>0</v>
      </c>
      <c r="K23" s="735">
        <f t="shared" si="2"/>
        <v>489.20831792126978</v>
      </c>
      <c r="L23" s="735">
        <f t="shared" si="2"/>
        <v>0</v>
      </c>
      <c r="M23" s="735">
        <f t="shared" ca="1" si="2"/>
        <v>0</v>
      </c>
      <c r="N23" s="735">
        <f t="shared" si="2"/>
        <v>1535.7731984527463</v>
      </c>
      <c r="O23" s="735">
        <f t="shared" ca="1" si="2"/>
        <v>77261.728541954188</v>
      </c>
      <c r="P23" s="735">
        <f t="shared" si="2"/>
        <v>209.48666666666668</v>
      </c>
      <c r="Q23" s="736">
        <f t="shared" si="2"/>
        <v>724.5333333333333</v>
      </c>
      <c r="R23" s="737">
        <f ca="1">R20+R15+R22</f>
        <v>1135417.6491976704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4983.7920616255469</v>
      </c>
      <c r="D36" s="718">
        <f ca="1">tertiair!C20</f>
        <v>0</v>
      </c>
      <c r="E36" s="718">
        <f ca="1">tertiair!D20</f>
        <v>1620.0602782831934</v>
      </c>
      <c r="F36" s="718">
        <f>tertiair!E20</f>
        <v>86.910886378841596</v>
      </c>
      <c r="G36" s="718">
        <f ca="1">tertiair!F20</f>
        <v>1539.0688930329688</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8229.832119320552</v>
      </c>
    </row>
    <row r="37" spans="1:18">
      <c r="A37" s="885" t="s">
        <v>225</v>
      </c>
      <c r="B37" s="892"/>
      <c r="C37" s="718">
        <f ca="1">huishoudens!B12</f>
        <v>3279.2123241132576</v>
      </c>
      <c r="D37" s="718">
        <f ca="1">huishoudens!C12</f>
        <v>0</v>
      </c>
      <c r="E37" s="718">
        <f>huishoudens!D12</f>
        <v>5953.8523437544809</v>
      </c>
      <c r="F37" s="718">
        <f>huishoudens!E12</f>
        <v>622.01769509653991</v>
      </c>
      <c r="G37" s="718">
        <f>huishoudens!F12</f>
        <v>4147.2385243482777</v>
      </c>
      <c r="H37" s="718">
        <f>huishoudens!G12</f>
        <v>0</v>
      </c>
      <c r="I37" s="718">
        <f>huishoudens!H12</f>
        <v>0</v>
      </c>
      <c r="J37" s="718">
        <f>huishoudens!I12</f>
        <v>0</v>
      </c>
      <c r="K37" s="718">
        <f>huishoudens!J12</f>
        <v>42.735893314945052</v>
      </c>
      <c r="L37" s="718">
        <f>huishoudens!K12</f>
        <v>0</v>
      </c>
      <c r="M37" s="718">
        <f>huishoudens!L12</f>
        <v>0</v>
      </c>
      <c r="N37" s="718">
        <f>huishoudens!M12</f>
        <v>0</v>
      </c>
      <c r="O37" s="718">
        <f>huishoudens!N12</f>
        <v>0</v>
      </c>
      <c r="P37" s="718">
        <f>huishoudens!O12</f>
        <v>0</v>
      </c>
      <c r="Q37" s="828">
        <f>huishoudens!P12</f>
        <v>0</v>
      </c>
      <c r="R37" s="917">
        <f ca="1">SUM(C37:Q37)</f>
        <v>14045.056780627499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70673.152494732305</v>
      </c>
      <c r="D39" s="718">
        <f ca="1">industrie!C22</f>
        <v>388.04369747899159</v>
      </c>
      <c r="E39" s="718">
        <f>industrie!D22</f>
        <v>70893.836038937938</v>
      </c>
      <c r="F39" s="718">
        <f>industrie!E22</f>
        <v>10222.140004255269</v>
      </c>
      <c r="G39" s="718">
        <f>industrie!F22</f>
        <v>42893.93210685486</v>
      </c>
      <c r="H39" s="718">
        <f>industrie!G22</f>
        <v>0</v>
      </c>
      <c r="I39" s="718">
        <f>industrie!H22</f>
        <v>0</v>
      </c>
      <c r="J39" s="718">
        <f>industrie!I22</f>
        <v>0</v>
      </c>
      <c r="K39" s="718">
        <f>industrie!J22</f>
        <v>73.618148673296901</v>
      </c>
      <c r="L39" s="718">
        <f>industrie!K22</f>
        <v>0</v>
      </c>
      <c r="M39" s="718">
        <f>industrie!L22</f>
        <v>0</v>
      </c>
      <c r="N39" s="718">
        <f>industrie!M22</f>
        <v>0</v>
      </c>
      <c r="O39" s="718">
        <f>industrie!N22</f>
        <v>0</v>
      </c>
      <c r="P39" s="718">
        <f>industrie!O22</f>
        <v>0</v>
      </c>
      <c r="Q39" s="828">
        <f>industrie!P22</f>
        <v>0</v>
      </c>
      <c r="R39" s="918">
        <f ca="1">SUM(C39:Q39)</f>
        <v>195144.72249093265</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78936.156880471113</v>
      </c>
      <c r="D41" s="763">
        <f t="shared" ref="D41:R41" ca="1" si="4">SUM(D35:D40)</f>
        <v>388.04369747899159</v>
      </c>
      <c r="E41" s="763">
        <f t="shared" ca="1" si="4"/>
        <v>78467.748660975616</v>
      </c>
      <c r="F41" s="763">
        <f t="shared" si="4"/>
        <v>10931.068585730651</v>
      </c>
      <c r="G41" s="763">
        <f t="shared" ca="1" si="4"/>
        <v>48580.239524236109</v>
      </c>
      <c r="H41" s="763">
        <f t="shared" si="4"/>
        <v>0</v>
      </c>
      <c r="I41" s="763">
        <f t="shared" si="4"/>
        <v>0</v>
      </c>
      <c r="J41" s="763">
        <f t="shared" si="4"/>
        <v>0</v>
      </c>
      <c r="K41" s="763">
        <f t="shared" si="4"/>
        <v>116.35404198824196</v>
      </c>
      <c r="L41" s="763">
        <f t="shared" si="4"/>
        <v>0</v>
      </c>
      <c r="M41" s="763">
        <f t="shared" ca="1" si="4"/>
        <v>0</v>
      </c>
      <c r="N41" s="763">
        <f t="shared" si="4"/>
        <v>0</v>
      </c>
      <c r="O41" s="763">
        <f t="shared" ca="1" si="4"/>
        <v>0</v>
      </c>
      <c r="P41" s="763">
        <f t="shared" si="4"/>
        <v>0</v>
      </c>
      <c r="Q41" s="764">
        <f t="shared" si="4"/>
        <v>0</v>
      </c>
      <c r="R41" s="765">
        <f t="shared" ca="1" si="4"/>
        <v>217419.61139088069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103.05701612907335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103.05701612907335</v>
      </c>
    </row>
    <row r="45" spans="1:18" ht="15" thickBot="1">
      <c r="A45" s="888" t="s">
        <v>307</v>
      </c>
      <c r="B45" s="898"/>
      <c r="C45" s="727">
        <f ca="1">transport!B18</f>
        <v>1.9436436823932099</v>
      </c>
      <c r="D45" s="727">
        <f>transport!C18</f>
        <v>0</v>
      </c>
      <c r="E45" s="727">
        <f>transport!D18</f>
        <v>4.8401690242674071</v>
      </c>
      <c r="F45" s="727">
        <f>transport!E18</f>
        <v>20.573265489748852</v>
      </c>
      <c r="G45" s="727">
        <f>transport!F18</f>
        <v>0</v>
      </c>
      <c r="H45" s="727">
        <f>transport!G18</f>
        <v>11291.423281215695</v>
      </c>
      <c r="I45" s="727">
        <f>transport!H18</f>
        <v>1591.6210624621006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12910.401421874205</v>
      </c>
    </row>
    <row r="46" spans="1:18" ht="15.75" thickBot="1">
      <c r="A46" s="886" t="s">
        <v>230</v>
      </c>
      <c r="B46" s="899"/>
      <c r="C46" s="763">
        <f t="shared" ref="C46:R46" ca="1" si="5">SUM(C43:C45)</f>
        <v>1.9436436823932099</v>
      </c>
      <c r="D46" s="763">
        <f t="shared" ca="1" si="5"/>
        <v>0</v>
      </c>
      <c r="E46" s="763">
        <f t="shared" si="5"/>
        <v>4.8401690242674071</v>
      </c>
      <c r="F46" s="763">
        <f t="shared" si="5"/>
        <v>20.573265489748852</v>
      </c>
      <c r="G46" s="763">
        <f t="shared" si="5"/>
        <v>0</v>
      </c>
      <c r="H46" s="763">
        <f t="shared" si="5"/>
        <v>11394.480297344768</v>
      </c>
      <c r="I46" s="763">
        <f t="shared" si="5"/>
        <v>1591.6210624621006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13013.458438003277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231.90208639753587</v>
      </c>
      <c r="D48" s="718">
        <f ca="1">+landbouw!C12</f>
        <v>0</v>
      </c>
      <c r="E48" s="718">
        <f>+landbouw!D12</f>
        <v>212.54077529253934</v>
      </c>
      <c r="F48" s="718">
        <f>+landbouw!E12</f>
        <v>6.5268338567754292</v>
      </c>
      <c r="G48" s="718">
        <f>+landbouw!F12</f>
        <v>1088.2064370832777</v>
      </c>
      <c r="H48" s="718">
        <f>+landbouw!G12</f>
        <v>0</v>
      </c>
      <c r="I48" s="718">
        <f>+landbouw!H12</f>
        <v>0</v>
      </c>
      <c r="J48" s="718">
        <f>+landbouw!I12</f>
        <v>0</v>
      </c>
      <c r="K48" s="718">
        <f>+landbouw!J12</f>
        <v>56.825702555887538</v>
      </c>
      <c r="L48" s="718">
        <f>+landbouw!K12</f>
        <v>0</v>
      </c>
      <c r="M48" s="718">
        <f>+landbouw!L12</f>
        <v>0</v>
      </c>
      <c r="N48" s="718">
        <f>+landbouw!M12</f>
        <v>0</v>
      </c>
      <c r="O48" s="718">
        <f>+landbouw!N12</f>
        <v>0</v>
      </c>
      <c r="P48" s="718">
        <f>+landbouw!O12</f>
        <v>0</v>
      </c>
      <c r="Q48" s="719">
        <f>+landbouw!P12</f>
        <v>0</v>
      </c>
      <c r="R48" s="761">
        <f ca="1">SUM(C48:Q48)</f>
        <v>1596.001835186016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79170.002610551033</v>
      </c>
      <c r="D53" s="773">
        <f t="shared" ref="D53:Q53" ca="1" si="6">D41+D46+D48</f>
        <v>388.04369747899159</v>
      </c>
      <c r="E53" s="773">
        <f t="shared" ca="1" si="6"/>
        <v>78685.129605292415</v>
      </c>
      <c r="F53" s="773">
        <f t="shared" si="6"/>
        <v>10958.168685077175</v>
      </c>
      <c r="G53" s="773">
        <f t="shared" ca="1" si="6"/>
        <v>49668.44596131939</v>
      </c>
      <c r="H53" s="773">
        <f t="shared" si="6"/>
        <v>11394.480297344768</v>
      </c>
      <c r="I53" s="773">
        <f t="shared" si="6"/>
        <v>1591.6210624621006</v>
      </c>
      <c r="J53" s="773">
        <f t="shared" si="6"/>
        <v>0</v>
      </c>
      <c r="K53" s="773">
        <f t="shared" si="6"/>
        <v>173.17974454412951</v>
      </c>
      <c r="L53" s="773">
        <f t="shared" si="6"/>
        <v>0</v>
      </c>
      <c r="M53" s="773">
        <f t="shared" ca="1" si="6"/>
        <v>0</v>
      </c>
      <c r="N53" s="773">
        <f t="shared" si="6"/>
        <v>0</v>
      </c>
      <c r="O53" s="773">
        <f t="shared" ca="1" si="6"/>
        <v>0</v>
      </c>
      <c r="P53" s="773">
        <f>P41+P46+P48</f>
        <v>0</v>
      </c>
      <c r="Q53" s="774">
        <f t="shared" si="6"/>
        <v>0</v>
      </c>
      <c r="R53" s="775">
        <f ca="1">R41+R46+R48</f>
        <v>232029.07166406998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0.20797667754451249</v>
      </c>
      <c r="D55" s="836">
        <f t="shared" ca="1" si="7"/>
        <v>0.23764705882352941</v>
      </c>
      <c r="E55" s="836">
        <f t="shared" ca="1" si="7"/>
        <v>0.20200000000000004</v>
      </c>
      <c r="F55" s="836">
        <f t="shared" si="7"/>
        <v>0.22700000000000004</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12169.807208050885</v>
      </c>
      <c r="C64" s="795">
        <f>'lokale energieproductie'!B4</f>
        <v>12169.807208050885</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10348.680295891378</v>
      </c>
      <c r="C66" s="795">
        <f>'lokale energieproductie'!B6</f>
        <v>10348.680295891378</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1143</v>
      </c>
      <c r="C67" s="794">
        <f>B67*IFERROR(SUM(J67:L67)/SUM(D67:M67),0)</f>
        <v>0</v>
      </c>
      <c r="D67" s="826">
        <f>'lokale energieproductie'!C7</f>
        <v>1344.7058823529412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271.63058823529417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23661.487503942262</v>
      </c>
      <c r="C69" s="803">
        <f>SUM(C64:C68)</f>
        <v>22518.487503942262</v>
      </c>
      <c r="D69" s="804">
        <f t="shared" ref="D69:M69" si="8">SUM(D67:D68)</f>
        <v>1344.7058823529412</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271.63058823529417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1632.8571428571429</v>
      </c>
      <c r="C78" s="817">
        <f>B78*IFERROR(SUM(I78:L78)/SUM(D78:M78),0)</f>
        <v>0</v>
      </c>
      <c r="D78" s="832">
        <f>'lokale energieproductie'!C16</f>
        <v>1921.0084033613443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388.04369747899159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1632.8571428571429</v>
      </c>
      <c r="C81" s="803">
        <f>SUM(C78:C80)</f>
        <v>0</v>
      </c>
      <c r="D81" s="803">
        <f t="shared" ref="D81:P81" si="9">SUM(D78:D80)</f>
        <v>1921.0084033613443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388.04369747899159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15767.211799079827</v>
      </c>
      <c r="C4" s="478">
        <f>huishoudens!C8</f>
        <v>0</v>
      </c>
      <c r="D4" s="478">
        <f>huishoudens!D8</f>
        <v>29474.516553240002</v>
      </c>
      <c r="E4" s="478">
        <f>huishoudens!E8</f>
        <v>2740.1660576940085</v>
      </c>
      <c r="F4" s="478">
        <f>huishoudens!F8</f>
        <v>15532.728555611528</v>
      </c>
      <c r="G4" s="478">
        <f>huishoudens!G8</f>
        <v>0</v>
      </c>
      <c r="H4" s="478">
        <f>huishoudens!H8</f>
        <v>0</v>
      </c>
      <c r="I4" s="478">
        <f>huishoudens!I8</f>
        <v>0</v>
      </c>
      <c r="J4" s="478">
        <f>huishoudens!J8</f>
        <v>120.7228624715962</v>
      </c>
      <c r="K4" s="478">
        <f>huishoudens!K8</f>
        <v>0</v>
      </c>
      <c r="L4" s="478">
        <f>huishoudens!L8</f>
        <v>0</v>
      </c>
      <c r="M4" s="478">
        <f>huishoudens!M8</f>
        <v>0</v>
      </c>
      <c r="N4" s="478">
        <f>huishoudens!N8</f>
        <v>10775.426325474635</v>
      </c>
      <c r="O4" s="478">
        <f>huishoudens!O8</f>
        <v>204.79666666666668</v>
      </c>
      <c r="P4" s="479">
        <f>huishoudens!P8</f>
        <v>591.06666666666661</v>
      </c>
      <c r="Q4" s="480">
        <f>SUM(B4:P4)</f>
        <v>75206.63548690491</v>
      </c>
    </row>
    <row r="5" spans="1:17">
      <c r="A5" s="477" t="s">
        <v>156</v>
      </c>
      <c r="B5" s="478">
        <f ca="1">tertiair!B16</f>
        <v>22982.242686971</v>
      </c>
      <c r="C5" s="478">
        <f ca="1">tertiair!C16</f>
        <v>0</v>
      </c>
      <c r="D5" s="478">
        <f ca="1">tertiair!D16</f>
        <v>8020.1003875405613</v>
      </c>
      <c r="E5" s="478">
        <f>tertiair!E16</f>
        <v>382.86734087595414</v>
      </c>
      <c r="F5" s="478">
        <f ca="1">tertiair!F16</f>
        <v>5764.3029701609321</v>
      </c>
      <c r="G5" s="478">
        <f>tertiair!G16</f>
        <v>0</v>
      </c>
      <c r="H5" s="478">
        <f>tertiair!H16</f>
        <v>0</v>
      </c>
      <c r="I5" s="478">
        <f>tertiair!I16</f>
        <v>0</v>
      </c>
      <c r="J5" s="478">
        <f>tertiair!J16</f>
        <v>0</v>
      </c>
      <c r="K5" s="478">
        <f>tertiair!K16</f>
        <v>0</v>
      </c>
      <c r="L5" s="478">
        <f ca="1">tertiair!L16</f>
        <v>0</v>
      </c>
      <c r="M5" s="478">
        <f>tertiair!M16</f>
        <v>0</v>
      </c>
      <c r="N5" s="478">
        <f ca="1">tertiair!N16</f>
        <v>2572.8592787073712</v>
      </c>
      <c r="O5" s="478">
        <f>tertiair!O16</f>
        <v>4.6900000000000004</v>
      </c>
      <c r="P5" s="479">
        <f>tertiair!P16</f>
        <v>133.46666666666667</v>
      </c>
      <c r="Q5" s="477">
        <f t="shared" ref="Q5:Q13" ca="1" si="0">SUM(B5:P5)</f>
        <v>39860.529330922487</v>
      </c>
    </row>
    <row r="6" spans="1:17">
      <c r="A6" s="477" t="s">
        <v>194</v>
      </c>
      <c r="B6" s="478">
        <f>'openbare verlichting'!B8</f>
        <v>980.98299999999995</v>
      </c>
      <c r="C6" s="478"/>
      <c r="D6" s="478"/>
      <c r="E6" s="478"/>
      <c r="F6" s="478"/>
      <c r="G6" s="478"/>
      <c r="H6" s="478"/>
      <c r="I6" s="478"/>
      <c r="J6" s="478"/>
      <c r="K6" s="478"/>
      <c r="L6" s="478"/>
      <c r="M6" s="478"/>
      <c r="N6" s="478"/>
      <c r="O6" s="478"/>
      <c r="P6" s="479"/>
      <c r="Q6" s="477">
        <f t="shared" si="0"/>
        <v>980.98299999999995</v>
      </c>
    </row>
    <row r="7" spans="1:17">
      <c r="A7" s="477" t="s">
        <v>112</v>
      </c>
      <c r="B7" s="478">
        <f>landbouw!B8</f>
        <v>1115.0389030900001</v>
      </c>
      <c r="C7" s="478">
        <f>landbouw!C8</f>
        <v>0</v>
      </c>
      <c r="D7" s="478">
        <f>landbouw!D8</f>
        <v>1052.1820559036601</v>
      </c>
      <c r="E7" s="478">
        <f>landbouw!E8</f>
        <v>28.752572056279423</v>
      </c>
      <c r="F7" s="478">
        <f>landbouw!F8</f>
        <v>4075.6795396377438</v>
      </c>
      <c r="G7" s="478">
        <f>landbouw!G8</f>
        <v>0</v>
      </c>
      <c r="H7" s="478">
        <f>landbouw!H8</f>
        <v>0</v>
      </c>
      <c r="I7" s="478">
        <f>landbouw!I8</f>
        <v>0</v>
      </c>
      <c r="J7" s="478">
        <f>landbouw!J8</f>
        <v>160.52458349120775</v>
      </c>
      <c r="K7" s="478">
        <f>landbouw!K8</f>
        <v>0</v>
      </c>
      <c r="L7" s="478">
        <f>landbouw!L8</f>
        <v>0</v>
      </c>
      <c r="M7" s="478">
        <f>landbouw!M8</f>
        <v>0</v>
      </c>
      <c r="N7" s="478">
        <f>landbouw!N8</f>
        <v>0</v>
      </c>
      <c r="O7" s="478">
        <f>landbouw!O8</f>
        <v>0</v>
      </c>
      <c r="P7" s="479">
        <f>landbouw!P8</f>
        <v>0</v>
      </c>
      <c r="Q7" s="477">
        <f t="shared" si="0"/>
        <v>6432.1776541788913</v>
      </c>
    </row>
    <row r="8" spans="1:17">
      <c r="A8" s="477" t="s">
        <v>638</v>
      </c>
      <c r="B8" s="478">
        <f>industrie!B18</f>
        <v>339812.87387190992</v>
      </c>
      <c r="C8" s="478">
        <f>industrie!C18</f>
        <v>1632.8571428571429</v>
      </c>
      <c r="D8" s="478">
        <f>industrie!D18</f>
        <v>350959.58435117785</v>
      </c>
      <c r="E8" s="478">
        <f>industrie!E18</f>
        <v>45031.453763239064</v>
      </c>
      <c r="F8" s="478">
        <f>industrie!F18</f>
        <v>160651.43111181594</v>
      </c>
      <c r="G8" s="478">
        <f>industrie!G18</f>
        <v>0</v>
      </c>
      <c r="H8" s="478">
        <f>industrie!H18</f>
        <v>0</v>
      </c>
      <c r="I8" s="478">
        <f>industrie!I18</f>
        <v>0</v>
      </c>
      <c r="J8" s="478">
        <f>industrie!J18</f>
        <v>207.96087195846582</v>
      </c>
      <c r="K8" s="478">
        <f>industrie!K18</f>
        <v>0</v>
      </c>
      <c r="L8" s="478">
        <f>industrie!L18</f>
        <v>0</v>
      </c>
      <c r="M8" s="478">
        <f>industrie!M18</f>
        <v>0</v>
      </c>
      <c r="N8" s="478">
        <f>industrie!N18</f>
        <v>63913.442937772183</v>
      </c>
      <c r="O8" s="478">
        <f>industrie!O18</f>
        <v>0</v>
      </c>
      <c r="P8" s="479">
        <f>industrie!P18</f>
        <v>0</v>
      </c>
      <c r="Q8" s="477">
        <f t="shared" si="0"/>
        <v>962209.6040507307</v>
      </c>
    </row>
    <row r="9" spans="1:17" s="483" customFormat="1">
      <c r="A9" s="481" t="s">
        <v>564</v>
      </c>
      <c r="B9" s="482">
        <f>transport!B14</f>
        <v>9.3454886641182107</v>
      </c>
      <c r="C9" s="482">
        <f>transport!C14</f>
        <v>0</v>
      </c>
      <c r="D9" s="482">
        <f>transport!D14</f>
        <v>23.961232793403003</v>
      </c>
      <c r="E9" s="482">
        <f>transport!E14</f>
        <v>90.631125505501544</v>
      </c>
      <c r="F9" s="482">
        <f>transport!F14</f>
        <v>0</v>
      </c>
      <c r="G9" s="482">
        <f>transport!G14</f>
        <v>42289.97483601384</v>
      </c>
      <c r="H9" s="482">
        <f>transport!H14</f>
        <v>6392.052459687151</v>
      </c>
      <c r="I9" s="482">
        <f>transport!I14</f>
        <v>0</v>
      </c>
      <c r="J9" s="482">
        <f>transport!J14</f>
        <v>0</v>
      </c>
      <c r="K9" s="482">
        <f>transport!K14</f>
        <v>0</v>
      </c>
      <c r="L9" s="482">
        <f>transport!L14</f>
        <v>0</v>
      </c>
      <c r="M9" s="482">
        <f>transport!M14</f>
        <v>1523.8009209882771</v>
      </c>
      <c r="N9" s="482">
        <f>transport!N14</f>
        <v>0</v>
      </c>
      <c r="O9" s="482">
        <f>transport!O14</f>
        <v>0</v>
      </c>
      <c r="P9" s="482">
        <f>transport!P14</f>
        <v>0</v>
      </c>
      <c r="Q9" s="481">
        <f>SUM(B9:P9)</f>
        <v>50329.7660636523</v>
      </c>
    </row>
    <row r="10" spans="1:17">
      <c r="A10" s="477" t="s">
        <v>554</v>
      </c>
      <c r="B10" s="478">
        <f>transport!B54</f>
        <v>0</v>
      </c>
      <c r="C10" s="478">
        <f>transport!C54</f>
        <v>0</v>
      </c>
      <c r="D10" s="478">
        <f>transport!D54</f>
        <v>0</v>
      </c>
      <c r="E10" s="478">
        <f>transport!E54</f>
        <v>0</v>
      </c>
      <c r="F10" s="478">
        <f>transport!F54</f>
        <v>0</v>
      </c>
      <c r="G10" s="478">
        <f>transport!G54</f>
        <v>385.9813338167541</v>
      </c>
      <c r="H10" s="478">
        <f>transport!H54</f>
        <v>0</v>
      </c>
      <c r="I10" s="478">
        <f>transport!I54</f>
        <v>0</v>
      </c>
      <c r="J10" s="478">
        <f>transport!J54</f>
        <v>0</v>
      </c>
      <c r="K10" s="478">
        <f>transport!K54</f>
        <v>0</v>
      </c>
      <c r="L10" s="478">
        <f>transport!L54</f>
        <v>0</v>
      </c>
      <c r="M10" s="478">
        <f>transport!M54</f>
        <v>11.972277464469345</v>
      </c>
      <c r="N10" s="478">
        <f>transport!N54</f>
        <v>0</v>
      </c>
      <c r="O10" s="478">
        <f>transport!O54</f>
        <v>0</v>
      </c>
      <c r="P10" s="479">
        <f>transport!P54</f>
        <v>0</v>
      </c>
      <c r="Q10" s="477">
        <f t="shared" si="0"/>
        <v>397.95361128122346</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380667.69574971485</v>
      </c>
      <c r="C14" s="488">
        <f t="shared" ref="C14:Q14" ca="1" si="1">SUM(C4:C13)</f>
        <v>1632.8571428571429</v>
      </c>
      <c r="D14" s="488">
        <f t="shared" ca="1" si="1"/>
        <v>389530.34458065545</v>
      </c>
      <c r="E14" s="488">
        <f t="shared" si="1"/>
        <v>48273.870859370807</v>
      </c>
      <c r="F14" s="488">
        <f t="shared" ca="1" si="1"/>
        <v>186024.14217722614</v>
      </c>
      <c r="G14" s="488">
        <f t="shared" si="1"/>
        <v>42675.956169830592</v>
      </c>
      <c r="H14" s="488">
        <f t="shared" si="1"/>
        <v>6392.052459687151</v>
      </c>
      <c r="I14" s="488">
        <f t="shared" si="1"/>
        <v>0</v>
      </c>
      <c r="J14" s="488">
        <f t="shared" si="1"/>
        <v>489.20831792126978</v>
      </c>
      <c r="K14" s="488">
        <f t="shared" si="1"/>
        <v>0</v>
      </c>
      <c r="L14" s="488">
        <f t="shared" ca="1" si="1"/>
        <v>0</v>
      </c>
      <c r="M14" s="488">
        <f t="shared" si="1"/>
        <v>1535.7731984527463</v>
      </c>
      <c r="N14" s="488">
        <f t="shared" ca="1" si="1"/>
        <v>77261.728541954188</v>
      </c>
      <c r="O14" s="488">
        <f t="shared" si="1"/>
        <v>209.48666666666668</v>
      </c>
      <c r="P14" s="489">
        <f t="shared" si="1"/>
        <v>724.5333333333333</v>
      </c>
      <c r="Q14" s="489">
        <f t="shared" ca="1" si="1"/>
        <v>1135417.6491976704</v>
      </c>
    </row>
    <row r="16" spans="1:17">
      <c r="A16" s="491" t="s">
        <v>559</v>
      </c>
      <c r="B16" s="841">
        <f ca="1">huishoudens!B10</f>
        <v>0.20797667754451249</v>
      </c>
      <c r="C16" s="841">
        <f ca="1">huishoudens!C10</f>
        <v>0.23764705882352941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3279.2123241132576</v>
      </c>
      <c r="C21" s="478">
        <f t="shared" ref="C21:C30" ca="1" si="3">C4*$C$16</f>
        <v>0</v>
      </c>
      <c r="D21" s="478">
        <f t="shared" ref="D21:D30" si="4">D4*$D$16</f>
        <v>5953.8523437544809</v>
      </c>
      <c r="E21" s="478">
        <f t="shared" ref="E21:E30" si="5">E4*$E$16</f>
        <v>622.01769509653991</v>
      </c>
      <c r="F21" s="478">
        <f t="shared" ref="F21:F30" si="6">F4*$F$16</f>
        <v>4147.2385243482777</v>
      </c>
      <c r="G21" s="478">
        <f t="shared" ref="G21:G30" si="7">G4*$G$16</f>
        <v>0</v>
      </c>
      <c r="H21" s="478">
        <f t="shared" ref="H21:H30" si="8">H4*$H$16</f>
        <v>0</v>
      </c>
      <c r="I21" s="478">
        <f t="shared" ref="I21:I30" si="9">I4*$I$16</f>
        <v>0</v>
      </c>
      <c r="J21" s="478">
        <f t="shared" ref="J21:J30" si="10">J4*$J$16</f>
        <v>42.735893314945052</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14045.056780627499</v>
      </c>
    </row>
    <row r="22" spans="1:17">
      <c r="A22" s="477" t="s">
        <v>156</v>
      </c>
      <c r="B22" s="478">
        <f t="shared" ca="1" si="2"/>
        <v>4779.7704765578983</v>
      </c>
      <c r="C22" s="478">
        <f t="shared" ca="1" si="3"/>
        <v>0</v>
      </c>
      <c r="D22" s="478">
        <f t="shared" ca="1" si="4"/>
        <v>1620.0602782831934</v>
      </c>
      <c r="E22" s="478">
        <f t="shared" si="5"/>
        <v>86.910886378841596</v>
      </c>
      <c r="F22" s="478">
        <f t="shared" ca="1" si="6"/>
        <v>1539.0688930329688</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8025.8105342529025</v>
      </c>
    </row>
    <row r="23" spans="1:17">
      <c r="A23" s="477" t="s">
        <v>194</v>
      </c>
      <c r="B23" s="478">
        <f t="shared" ca="1" si="2"/>
        <v>204.02158506764849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204.02158506764849</v>
      </c>
    </row>
    <row r="24" spans="1:17">
      <c r="A24" s="477" t="s">
        <v>112</v>
      </c>
      <c r="B24" s="478">
        <f t="shared" ca="1" si="2"/>
        <v>231.90208639753587</v>
      </c>
      <c r="C24" s="478">
        <f t="shared" ca="1" si="3"/>
        <v>0</v>
      </c>
      <c r="D24" s="478">
        <f t="shared" si="4"/>
        <v>212.54077529253934</v>
      </c>
      <c r="E24" s="478">
        <f t="shared" si="5"/>
        <v>6.5268338567754292</v>
      </c>
      <c r="F24" s="478">
        <f t="shared" si="6"/>
        <v>1088.2064370832777</v>
      </c>
      <c r="G24" s="478">
        <f t="shared" si="7"/>
        <v>0</v>
      </c>
      <c r="H24" s="478">
        <f t="shared" si="8"/>
        <v>0</v>
      </c>
      <c r="I24" s="478">
        <f t="shared" si="9"/>
        <v>0</v>
      </c>
      <c r="J24" s="478">
        <f t="shared" si="10"/>
        <v>56.825702555887538</v>
      </c>
      <c r="K24" s="478">
        <f t="shared" si="11"/>
        <v>0</v>
      </c>
      <c r="L24" s="478">
        <f t="shared" si="12"/>
        <v>0</v>
      </c>
      <c r="M24" s="478">
        <f t="shared" si="13"/>
        <v>0</v>
      </c>
      <c r="N24" s="478">
        <f t="shared" si="14"/>
        <v>0</v>
      </c>
      <c r="O24" s="478">
        <f t="shared" si="15"/>
        <v>0</v>
      </c>
      <c r="P24" s="479">
        <f t="shared" si="16"/>
        <v>0</v>
      </c>
      <c r="Q24" s="477">
        <f t="shared" ca="1" si="17"/>
        <v>1596.001835186016</v>
      </c>
    </row>
    <row r="25" spans="1:17">
      <c r="A25" s="477" t="s">
        <v>638</v>
      </c>
      <c r="B25" s="478">
        <f t="shared" ca="1" si="2"/>
        <v>70673.152494732305</v>
      </c>
      <c r="C25" s="478">
        <f t="shared" ca="1" si="3"/>
        <v>388.04369747899159</v>
      </c>
      <c r="D25" s="478">
        <f t="shared" si="4"/>
        <v>70893.836038937938</v>
      </c>
      <c r="E25" s="478">
        <f t="shared" si="5"/>
        <v>10222.140004255269</v>
      </c>
      <c r="F25" s="478">
        <f t="shared" si="6"/>
        <v>42893.93210685486</v>
      </c>
      <c r="G25" s="478">
        <f t="shared" si="7"/>
        <v>0</v>
      </c>
      <c r="H25" s="478">
        <f t="shared" si="8"/>
        <v>0</v>
      </c>
      <c r="I25" s="478">
        <f t="shared" si="9"/>
        <v>0</v>
      </c>
      <c r="J25" s="478">
        <f t="shared" si="10"/>
        <v>73.618148673296901</v>
      </c>
      <c r="K25" s="478">
        <f t="shared" si="11"/>
        <v>0</v>
      </c>
      <c r="L25" s="478">
        <f t="shared" si="12"/>
        <v>0</v>
      </c>
      <c r="M25" s="478">
        <f t="shared" si="13"/>
        <v>0</v>
      </c>
      <c r="N25" s="478">
        <f t="shared" si="14"/>
        <v>0</v>
      </c>
      <c r="O25" s="478">
        <f t="shared" si="15"/>
        <v>0</v>
      </c>
      <c r="P25" s="479">
        <f t="shared" si="16"/>
        <v>0</v>
      </c>
      <c r="Q25" s="477">
        <f t="shared" ca="1" si="17"/>
        <v>195144.72249093265</v>
      </c>
    </row>
    <row r="26" spans="1:17" s="483" customFormat="1">
      <c r="A26" s="481" t="s">
        <v>564</v>
      </c>
      <c r="B26" s="835">
        <f t="shared" ca="1" si="2"/>
        <v>1.9436436823932099</v>
      </c>
      <c r="C26" s="482">
        <f t="shared" ca="1" si="3"/>
        <v>0</v>
      </c>
      <c r="D26" s="482">
        <f t="shared" si="4"/>
        <v>4.8401690242674071</v>
      </c>
      <c r="E26" s="482">
        <f t="shared" si="5"/>
        <v>20.573265489748852</v>
      </c>
      <c r="F26" s="482">
        <f t="shared" si="6"/>
        <v>0</v>
      </c>
      <c r="G26" s="482">
        <f t="shared" si="7"/>
        <v>11291.423281215695</v>
      </c>
      <c r="H26" s="482">
        <f t="shared" si="8"/>
        <v>1591.6210624621006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12910.401421874205</v>
      </c>
    </row>
    <row r="27" spans="1:17">
      <c r="A27" s="477" t="s">
        <v>554</v>
      </c>
      <c r="B27" s="478">
        <f t="shared" ca="1" si="2"/>
        <v>0</v>
      </c>
      <c r="C27" s="478">
        <f t="shared" ca="1" si="3"/>
        <v>0</v>
      </c>
      <c r="D27" s="478">
        <f t="shared" si="4"/>
        <v>0</v>
      </c>
      <c r="E27" s="478">
        <f t="shared" si="5"/>
        <v>0</v>
      </c>
      <c r="F27" s="478">
        <f t="shared" si="6"/>
        <v>0</v>
      </c>
      <c r="G27" s="478">
        <f t="shared" si="7"/>
        <v>103.05701612907335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103.05701612907335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79170.002610551033</v>
      </c>
      <c r="C31" s="488">
        <f t="shared" ca="1" si="18"/>
        <v>388.04369747899159</v>
      </c>
      <c r="D31" s="488">
        <f t="shared" ca="1" si="18"/>
        <v>78685.129605292415</v>
      </c>
      <c r="E31" s="488">
        <f t="shared" si="18"/>
        <v>10958.168685077175</v>
      </c>
      <c r="F31" s="488">
        <f t="shared" ca="1" si="18"/>
        <v>49668.445961319383</v>
      </c>
      <c r="G31" s="488">
        <f t="shared" si="18"/>
        <v>11394.480297344768</v>
      </c>
      <c r="H31" s="488">
        <f t="shared" si="18"/>
        <v>1591.6210624621006</v>
      </c>
      <c r="I31" s="488">
        <f t="shared" si="18"/>
        <v>0</v>
      </c>
      <c r="J31" s="488">
        <f t="shared" si="18"/>
        <v>173.17974454412951</v>
      </c>
      <c r="K31" s="488">
        <f t="shared" si="18"/>
        <v>0</v>
      </c>
      <c r="L31" s="488">
        <f t="shared" ca="1" si="18"/>
        <v>0</v>
      </c>
      <c r="M31" s="488">
        <f t="shared" si="18"/>
        <v>0</v>
      </c>
      <c r="N31" s="488">
        <f t="shared" ca="1" si="18"/>
        <v>0</v>
      </c>
      <c r="O31" s="488">
        <f t="shared" si="18"/>
        <v>0</v>
      </c>
      <c r="P31" s="489">
        <f t="shared" si="18"/>
        <v>0</v>
      </c>
      <c r="Q31" s="489">
        <f t="shared" ca="1" si="18"/>
        <v>232029.07166407001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0.20797667754451249</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0.20797667754451249</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0.20797667754451249</v>
      </c>
      <c r="C29" s="529">
        <f ca="1">'EF ele_warmte'!B22</f>
        <v>0.23764705882352941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2018-06-27T09:43:14Z</dcterms:modified>
</cp:coreProperties>
</file>