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D8" i="17"/>
  <c r="L6"/>
  <c r="L5" s="1"/>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Q13"/>
  <c r="E8" i="17"/>
  <c r="F22" i="14" s="1"/>
  <c r="O22" i="16"/>
  <c r="P39" i="14" s="1"/>
  <c r="O18" i="16"/>
  <c r="P13"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Q15"/>
  <c r="Q23" s="1"/>
  <c r="Q55" s="1"/>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M16" i="18" l="1"/>
  <c r="M19" s="1"/>
  <c r="P55" i="14"/>
  <c r="E5" i="48"/>
  <c r="E22" s="1"/>
  <c r="E20" i="15"/>
  <c r="F36" i="14" s="1"/>
  <c r="J9" i="18"/>
  <c r="M7"/>
  <c r="M9" s="1"/>
  <c r="L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Q5" i="48"/>
  <c r="N22" i="16"/>
  <c r="O39" i="14" s="1"/>
  <c r="O41" s="1"/>
  <c r="F8" i="48"/>
  <c r="Q4"/>
  <c r="N22"/>
  <c r="R11" i="14"/>
  <c r="J21" i="48"/>
  <c r="R10" i="14"/>
  <c r="C18" i="15" l="1"/>
  <c r="C20" s="1"/>
  <c r="D36" i="14" s="1"/>
  <c r="C10" i="13"/>
  <c r="C16" i="48" s="1"/>
  <c r="C30" s="1"/>
  <c r="C16" i="22"/>
  <c r="C17" i="49"/>
  <c r="C17" i="19"/>
  <c r="C19" s="1"/>
  <c r="D35" i="14" s="1"/>
  <c r="C20" i="16"/>
  <c r="C22" s="1"/>
  <c r="D39" i="14" s="1"/>
  <c r="C10" i="17"/>
  <c r="C12" s="1"/>
  <c r="D48" i="14" s="1"/>
  <c r="C56" i="22"/>
  <c r="C58" s="1"/>
  <c r="D44" i="14" s="1"/>
  <c r="D46" s="1"/>
  <c r="C29" i="20"/>
  <c r="J8" i="48"/>
  <c r="J25" s="1"/>
  <c r="J31" s="1"/>
  <c r="O13" i="14"/>
  <c r="O15" s="1"/>
  <c r="F13"/>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12" i="13"/>
  <c r="D37" i="14" s="1"/>
  <c r="D41" s="1"/>
  <c r="C23" i="48"/>
  <c r="C27"/>
  <c r="C28"/>
  <c r="C21"/>
  <c r="C26"/>
  <c r="R13" i="14"/>
  <c r="R15" s="1"/>
  <c r="F25" i="48"/>
  <c r="F31" s="1"/>
  <c r="F14"/>
  <c r="C24" l="1"/>
  <c r="C22"/>
  <c r="C31" s="1"/>
  <c r="J14"/>
  <c r="C25"/>
  <c r="C29"/>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<sst xmlns="http://schemas.openxmlformats.org/spreadsheetml/2006/main" count="1933" uniqueCount="824">
  <si>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</si>
  <si>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</si>
  <si>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</si>
  <si>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</si>
  <si>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</si>
  <si>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</si>
  <si>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</si>
  <si>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</si>
  <si>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</si>
  <si>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</si>
  <si>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</si>
  <si>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</si>
  <si>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</si>
  <si>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</si>
  <si>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</si>
  <si>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</si>
  <si>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</si>
  <si>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</si>
  <si>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</si>
  <si>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</si>
  <si>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</si>
  <si>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</si>
  <si>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</si>
  <si>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</si>
  <si>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</si>
  <si>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</si>
  <si>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</si>
  <si>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</si>
  <si>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</si>
  <si>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</si>
  <si>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</si>
  <si>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</si>
  <si>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</si>
  <si>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</si>
  <si>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</si>
  <si>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</si>
  <si>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</si>
  <si>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</si>
  <si>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</si>
  <si>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</si>
  <si>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</si>
  <si>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</si>
  <si>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</si>
  <si>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</si>
  <si>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</si>
  <si>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</si>
  <si>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</si>
  <si>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</si>
  <si>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</si>
  <si>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</si>
  <si>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</si>
  <si>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</si>
  <si>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</si>
  <si>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</si>
  <si>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</si>
  <si>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</si>
  <si>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</si>
  <si>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</si>
  <si>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</si>
  <si>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</si>
  <si>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</si>
  <si>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</si>
  <si>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</si>
  <si>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</si>
  <si>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</si>
  <si>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</si>
  <si>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</si>
  <si>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</si>
  <si>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</si>
  <si>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</si>
  <si>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</si>
  <si>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</si>
  <si>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</si>
  <si>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</si>
  <si>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</si>
  <si>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</si>
  <si>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</si>
  <si>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</si>
  <si>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</si>
  <si>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</si>
  <si>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</si>
  <si>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</si>
  <si>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</si>
  <si>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</si>
  <si>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</si>
  <si>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</si>
  <si>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</si>
  <si>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</si>
  <si>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</si>
  <si>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</si>
  <si>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</si>
  <si>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</si>
  <si>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</si>
  <si>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</si>
  <si>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</si>
  <si>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</si>
  <si>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</si>
  <si>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</si>
  <si>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</si>
  <si>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</si>
  <si>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</si>
  <si>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</si>
  <si>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</si>
  <si>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</si>
  <si>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</si>
  <si>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</si>
  <si>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</si>
  <si>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</si>
  <si>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</si>
  <si>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</si>
  <si>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</si>
  <si>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</si>
  <si>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</si>
  <si>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</si>
  <si>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</si>
  <si>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</si>
  <si>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</si>
  <si>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</si>
  <si>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</si>
  <si>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</si>
  <si>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</si>
  <si>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</si>
  <si>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</si>
  <si>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</si>
  <si>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</si>
  <si>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</si>
  <si>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</si>
  <si>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</si>
  <si>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</si>
  <si>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</si>
  <si>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</si>
  <si>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</si>
  <si>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</si>
  <si>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</si>
  <si>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</si>
  <si>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</si>
  <si>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</si>
  <si>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</si>
  <si>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</si>
  <si>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</si>
  <si>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</si>
  <si>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</si>
  <si>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</si>
  <si>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</si>
  <si>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</si>
  <si>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</si>
  <si>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</si>
  <si>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</si>
  <si>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</si>
  <si>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</si>
  <si>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</si>
  <si>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</si>
  <si>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</si>
  <si>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</si>
  <si>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</si>
  <si>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</si>
  <si>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</si>
  <si>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</si>
  <si>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</si>
  <si>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</si>
  <si>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</si>
  <si>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</si>
  <si>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</si>
  <si>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</si>
  <si>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</si>
  <si>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</si>
  <si>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</si>
  <si>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</si>
  <si>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</si>
  <si>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</si>
  <si>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</si>
  <si>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</si>
  <si>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</si>
  <si>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</si>
  <si>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</si>
  <si>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</si>
  <si>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</si>
  <si>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</si>
  <si>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</si>
  <si>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</si>
  <si>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</si>
  <si>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</si>
  <si>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</si>
  <si>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</si>
  <si>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</si>
  <si>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</si>
  <si>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</si>
  <si>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</si>
  <si>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</si>
  <si>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</si>
  <si>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</si>
  <si>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</si>
  <si>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</si>
  <si>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</si>
  <si>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</si>
  <si>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</si>
  <si>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</si>
  <si>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</si>
  <si>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</si>
  <si>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</si>
  <si>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</si>
  <si>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</si>
  <si>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</si>
  <si>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</si>
  <si>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</si>
  <si>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</si>
  <si>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</si>
  <si>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</si>
  <si>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</si>
  <si>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</si>
  <si>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</si>
  <si>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</si>
  <si>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</si>
  <si>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</si>
  <si>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</si>
  <si>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</si>
  <si>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</si>
  <si>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</si>
  <si>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</si>
  <si>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</si>
  <si>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</si>
  <si>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</si>
  <si>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</si>
  <si>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</si>
  <si>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</si>
  <si>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</si>
  <si>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</si>
  <si>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</si>
  <si>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</si>
  <si>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</si>
  <si>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</si>
  <si>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</si>
  <si>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</si>
  <si>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</si>
  <si>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</si>
  <si>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</si>
  <si>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</si>
  <si>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</si>
  <si>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</si>
  <si>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</si>
  <si>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</si>
  <si>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</si>
  <si>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</si>
  <si>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</si>
  <si>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</si>
  <si>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</si>
  <si>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</si>
  <si>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</si>
  <si>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</si>
  <si>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</si>
  <si>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</si>
  <si>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</si>
  <si>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</si>
  <si>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</si>
  <si>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</si>
  <si>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</si>
  <si>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</si>
  <si>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</si>
  <si>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</si>
  <si>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</si>
  <si>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</si>
  <si>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</si>
  <si>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</si>
  <si>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</si>
  <si>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</si>
  <si>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</si>
  <si>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</si>
  <si>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</si>
  <si>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</si>
  <si>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</si>
  <si>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</si>
  <si>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</si>
  <si>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</si>
  <si>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</si>
  <si>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</si>
  <si>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</si>
  <si>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</si>
  <si>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</si>
  <si>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</si>
  <si>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</si>
  <si>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</si>
  <si>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</si>
  <si>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</si>
  <si>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</si>
  <si>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</si>
  <si>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</si>
  <si>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</si>
  <si>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</si>
  <si>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</si>
  <si>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</si>
  <si>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</si>
  <si>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</si>
  <si>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</si>
  <si>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</si>
  <si>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</si>
  <si>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</si>
  <si>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</si>
  <si>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</si>
  <si>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</si>
  <si>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</si>
  <si>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</si>
  <si>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</si>
  <si>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</si>
  <si>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</si>
  <si>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</si>
  <si>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</si>
  <si>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</si>
  <si>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</si>
  <si>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</si>
  <si>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</si>
  <si>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</si>
  <si>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</si>
  <si>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</si>
  <si>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</si>
  <si>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</si>
  <si>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</si>
  <si>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</si>
  <si>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</si>
  <si>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</si>
  <si>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</si>
  <si>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</si>
  <si>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</si>
  <si>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</si>
  <si>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</si>
  <si>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</si>
  <si>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</si>
  <si>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</si>
  <si>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</si>
  <si>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</si>
  <si>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</si>
  <si>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</si>
  <si>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</si>
  <si>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</si>
  <si>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</si>
  <si>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</si>
  <si>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</si>
  <si>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</si>
  <si>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</si>
  <si>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</si>
  <si>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</si>
  <si>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</si>
  <si>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</si>
  <si>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</si>
  <si>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</si>
  <si>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</si>
  <si>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</si>
  <si>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</si>
  <si>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</si>
  <si>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</si>
  <si>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</si>
  <si>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</si>
  <si>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</si>
  <si>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</si>
  <si>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</si>
  <si>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</si>
  <si>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</si>
  <si>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</si>
  <si>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</si>
  <si>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</si>
  <si>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</si>
  <si>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</si>
  <si>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</si>
  <si>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</si>
  <si>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</si>
  <si>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</si>
  <si>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</si>
  <si>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</si>
  <si>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</si>
  <si>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</si>
  <si>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</si>
  <si>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</si>
  <si>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</si>
  <si>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</si>
  <si>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</si>
  <si>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</si>
  <si>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</si>
  <si>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</si>
  <si>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</si>
  <si>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</si>
  <si>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</si>
  <si>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</si>
  <si>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</si>
  <si>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</si>
  <si>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</si>
  <si>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</si>
  <si>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</si>
  <si>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</si>
  <si>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</si>
  <si>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</si>
  <si>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</si>
  <si>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</si>
  <si>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</si>
  <si>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</si>
  <si>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</si>
  <si>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</si>
  <si>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</si>
  <si>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</si>
  <si>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</si>
  <si>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</si>
  <si>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</si>
  <si>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</si>
  <si>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</si>
  <si>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</si>
  <si>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</si>
  <si>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</si>
  <si>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</si>
  <si>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</si>
  <si>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</si>
  <si>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</si>
  <si>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</si>
  <si>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</si>
  <si>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</si>
  <si>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</si>
  <si>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</si>
  <si>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</si>
  <si>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</si>
  <si>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</si>
  <si>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</si>
  <si>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</si>
  <si>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</si>
  <si>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</si>
  <si>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</si>
  <si>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</si>
  <si>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</si>
  <si>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</si>
  <si>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</si>
  <si>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</si>
  <si>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</si>
  <si>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</si>
  <si>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</si>
  <si>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</si>
  <si>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</si>
  <si>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</si>
  <si>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</si>
  <si>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</si>
  <si>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</si>
  <si>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</si>
  <si>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</si>
  <si>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</si>
  <si>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</si>
  <si>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</si>
  <si>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</si>
  <si>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</si>
  <si>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</si>
  <si>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</si>
  <si>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</si>
  <si>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</si>
  <si>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</si>
  <si>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</si>
  <si>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</si>
  <si>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</si>
  <si>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</si>
  <si>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</si>
  <si>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</si>
  <si>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</si>
  <si>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</si>
  <si>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</si>
  <si>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</si>
  <si>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</si>
  <si>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</si>
  <si>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</si>
  <si>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</si>
  <si>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</si>
  <si>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</si>
  <si>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</si>
  <si>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</si>
  <si>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</si>
  <si>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</si>
  <si>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</si>
  <si>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</si>
  <si>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</si>
  <si>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</si>
  <si>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</si>
  <si>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</si>
  <si>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</si>
  <si>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</si>
  <si>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</si>
  <si>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</si>
  <si>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</si>
  <si>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</si>
  <si>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</si>
  <si>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</si>
  <si>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</si>
  <si>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</si>
  <si>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</si>
  <si>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</si>
  <si>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</si>
  <si>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</si>
  <si>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</si>
  <si>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</si>
  <si>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</si>
  <si>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</si>
  <si>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</si>
  <si>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</si>
  <si>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</si>
  <si>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</si>
  <si>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</si>
  <si>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</si>
  <si>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</si>
  <si>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</si>
  <si>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</si>
  <si>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</si>
  <si>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</si>
  <si>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</si>
  <si>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</si>
  <si>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</si>
  <si>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</si>
  <si>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</si>
  <si>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</si>
  <si>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</si>
  <si>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</si>
  <si>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</si>
  <si>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</si>
  <si>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</si>
  <si>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</si>
  <si>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</si>
  <si>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</si>
  <si>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</si>
  <si>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</si>
  <si>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</si>
  <si>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</si>
  <si>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</si>
  <si>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</si>
  <si>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</si>
  <si>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</si>
  <si>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</si>
  <si>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</si>
  <si>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</si>
  <si>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</si>
  <si>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</si>
  <si>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</si>
  <si>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</si>
  <si>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</si>
  <si>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</si>
  <si>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</si>
  <si>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</si>
  <si>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</si>
  <si>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</si>
  <si>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</si>
  <si>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</si>
  <si>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</si>
  <si>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</si>
  <si>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</si>
  <si>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</si>
  <si>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</si>
  <si>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</si>
  <si>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</si>
  <si>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</si>
  <si>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</si>
  <si>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</si>
  <si>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</si>
  <si>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</si>
  <si>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</si>
  <si>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</si>
  <si>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</si>
  <si>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</si>
  <si>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</si>
  <si>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</si>
  <si>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</si>
  <si>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</si>
  <si>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</si>
  <si>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</si>
  <si>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</si>
  <si>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</si>
  <si>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</si>
  <si>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</si>
  <si>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</si>
  <si>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</si>
  <si>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</si>
  <si>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</si>
  <si>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</si>
  <si>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</si>
  <si>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</si>
  <si>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</si>
  <si>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</si>
  <si>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</si>
  <si>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</si>
  <si>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</si>
  <si>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</si>
  <si>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</si>
  <si>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</si>
  <si>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</si>
  <si>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</si>
  <si>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</si>
  <si>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</si>
  <si>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</si>
  <si>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</si>
  <si>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</si>
  <si>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</si>
  <si>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</si>
  <si>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</si>
  <si>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</si>
  <si>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</si>
  <si>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</si>
  <si>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</si>
  <si>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</si>
  <si>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</si>
  <si>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</si>
  <si>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</si>
  <si>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</si>
  <si>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</si>
  <si>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</si>
  <si>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</si>
  <si>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</si>
  <si>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</si>
  <si>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</si>
  <si>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</si>
  <si>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</si>
  <si>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</si>
  <si>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</si>
  <si>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</si>
  <si>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</si>
  <si>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</si>
  <si>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</si>
  <si>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</si>
  <si>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</si>
  <si>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</si>
  <si>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</si>
  <si>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</si>
  <si>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</si>
  <si>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</si>
  <si>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</si>
  <si>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</si>
  <si>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</si>
  <si>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</si>
  <si>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</si>
  <si>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</si>
  <si>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</si>
  <si>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</si>
  <si>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</si>
  <si>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</si>
  <si>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</si>
  <si>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</si>
  <si>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</si>
  <si>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</si>
  <si>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</si>
  <si>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</si>
  <si>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</si>
  <si>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</si>
  <si>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</si>
  <si>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</si>
  <si>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</si>
  <si>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</si>
  <si>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</si>
  <si>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</si>
  <si>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</si>
  <si>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</si>
  <si>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</si>
  <si>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</si>
  <si>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</si>
  <si>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</si>
  <si>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</si>
  <si>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</si>
  <si>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</si>
  <si>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</si>
  <si>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</si>
  <si>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</si>
  <si>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</si>
  <si>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</si>
  <si>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</si>
  <si>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</si>
  <si>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</si>
  <si>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</si>
  <si>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</si>
  <si>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</si>
  <si>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</si>
  <si>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</si>
  <si>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</si>
  <si>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</si>
  <si>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</si>
  <si>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</si>
  <si>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</si>
  <si>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</si>
  <si>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</si>
  <si>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</si>
  <si>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</si>
  <si>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</si>
  <si>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</si>
  <si>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</si>
  <si>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</si>
  <si>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</si>
  <si>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</si>
  <si>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</si>
  <si>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</si>
  <si>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</si>
  <si>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</si>
  <si>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</si>
  <si>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</si>
  <si>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</si>
  <si>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</si>
  <si>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</si>
  <si>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</si>
  <si>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</si>
  <si>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</si>
  <si>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</si>
  <si>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</si>
  <si>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</si>
  <si>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</si>
  <si>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</si>
  <si>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</si>
  <si>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</si>
  <si>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</si>
  <si>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</si>
  <si>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</si>
  <si>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</si>
  <si>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</si>
  <si>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</si>
  <si>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</si>
  <si>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</si>
  <si>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</si>
  <si>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</si>
  <si>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</si>
  <si>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</si>
  <si>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</si>
  <si>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</si>
  <si>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</si>
  <si>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</si>
  <si>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</si>
  <si>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</si>
  <si>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</si>
  <si>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</si>
  <si>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</si>
  <si>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</si>
  <si>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</si>
  <si>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</si>
  <si>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</si>
  <si>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</si>
  <si>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</si>
  <si>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</si>
  <si>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</si>
  <si>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</si>
  <si>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</si>
  <si>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</si>
  <si>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</si>
  <si>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</si>
  <si>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</si>
  <si>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</si>
  <si>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</si>
  <si>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</si>
  <si>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</si>
  <si>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</si>
  <si>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</si>
  <si>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</si>
  <si>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</si>
  <si>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</si>
  <si>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</si>
  <si>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</si>
  <si>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</si>
  <si>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</si>
  <si>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</si>
  <si>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</si>
  <si>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</si>
  <si>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</si>
  <si>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</si>
  <si>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</si>
  <si>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</si>
  <si>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</si>
  <si>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</si>
  <si>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</si>
  <si>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</si>
  <si>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</si>
  <si>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</si>
  <si>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</si>
  <si>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</si>
  <si>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</si>
  <si>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</si>
  <si>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</si>
  <si>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</si>
  <si>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</si>
  <si>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</si>
  <si>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</si>
  <si>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</si>
  <si>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</si>
  <si>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</si>
  <si>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</si>
  <si>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</si>
  <si>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</si>
  <si>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</si>
  <si>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</si>
  <si>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</si>
  <si>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</si>
  <si>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</si>
  <si>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</si>
  <si>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</si>
  <si>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</si>
  <si>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</si>
  <si>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</si>
  <si>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</si>
  <si>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</si>
  <si>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</si>
  <si>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</si>
  <si>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</si>
  <si>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</si>
  <si>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</si>
  <si>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</si>
  <si>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</si>
  <si>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</si>
  <si>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</si>
  <si>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</si>
  <si>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</si>
  <si>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</si>
  <si>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</si>
  <si>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</si>
  <si>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</si>
  <si>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</si>
  <si>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</si>
  <si>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</si>
  <si>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</si>
  <si>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</si>
  <si>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</si>
  <si>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37010</t>
  </si>
  <si>
    <t>OOSTROZEBEKE</t>
  </si>
  <si>
    <t>Paarden&amp;pony's 200 - 600 kg</t>
  </si>
  <si>
    <t>Paarden&amp;pony's &lt; 200 kg</t>
  </si>
  <si>
    <t>referentietaak LNE (2017); Jaarverslag De Lijn (2015)</t>
  </si>
  <si>
    <t>op basis van VEA (maart 2018) en Inventaris Hernieuwbare Energiebronnen (juni 2018)</t>
  </si>
  <si>
    <t>VEA (januari 2017)</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</si>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</sst>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62107.039484993009</c:v>
                </c:pt>
                <c:pt idx="1">
                  <c:v>17608.018079807916</c:v>
                </c:pt>
                <c:pt idx="2">
                  <c:v>686.18799999999999</c:v>
                </c:pt>
                <c:pt idx="3">
                  <c:v>18769.294392744272</c:v>
                </c:pt>
                <c:pt idx="4">
                  <c:v>205868.30127990438</c:v>
                </c:pt>
                <c:pt idx="5">
                  <c:v>36215.576165909508</c:v>
                </c:pt>
                <c:pt idx="6">
                  <c:v>169.82939635453721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62107.039484993009</c:v>
                </c:pt>
                <c:pt idx="1">
                  <c:v>17608.018079807916</c:v>
                </c:pt>
                <c:pt idx="2">
                  <c:v>686.18799999999999</c:v>
                </c:pt>
                <c:pt idx="3">
                  <c:v>18769.294392744272</c:v>
                </c:pt>
                <c:pt idx="4">
                  <c:v>205868.30127990438</c:v>
                </c:pt>
                <c:pt idx="5">
                  <c:v>36215.576165909508</c:v>
                </c:pt>
                <c:pt idx="6">
                  <c:v>169.82939635453721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11567.736928920385</c:v>
                </c:pt>
                <c:pt idx="1">
                  <c:v>3581.3755350506608</c:v>
                </c:pt>
                <c:pt idx="2">
                  <c:v>145.38290749525831</c:v>
                </c:pt>
                <c:pt idx="3">
                  <c:v>4580.5377367649098</c:v>
                </c:pt>
                <c:pt idx="4">
                  <c:v>40801.497654374813</c:v>
                </c:pt>
                <c:pt idx="5">
                  <c:v>9298.8072977412958</c:v>
                </c:pt>
                <c:pt idx="6">
                  <c:v>43.980278965057678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30240"/>
      </c:barChart>
      <c:catAx>
        <c:axId val="183393280"/>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11567.736928920385</c:v>
                </c:pt>
                <c:pt idx="1">
                  <c:v>3581.3755350506608</c:v>
                </c:pt>
                <c:pt idx="2">
                  <c:v>145.38290749525831</c:v>
                </c:pt>
                <c:pt idx="3">
                  <c:v>4580.5377367649098</c:v>
                </c:pt>
                <c:pt idx="4">
                  <c:v>40801.497654374813</c:v>
                </c:pt>
                <c:pt idx="5">
                  <c:v>9298.8072977412958</c:v>
                </c:pt>
                <c:pt idx="6">
                  <c:v>43.980278965057678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37010</v>
      </c>
      <c r="B6" s="415"/>
      <c r="C6" s="416"/>
    </row>
    <row r="7" spans="1:7" s="413" customFormat="1" ht="15.75" customHeight="1">
      <c r="A7" s="417" t="str">
        <f>txtMunicipality</f>
        <v>OOSTROZEBEKE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3189</v>
      </c>
      <c r="C9" s="342">
        <v>3201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954.87</v>
      </c>
    </row>
    <row r="15" spans="1:6">
      <c r="A15" s="348" t="s">
        <v>184</v>
      </c>
      <c r="B15" s="334">
        <v>16</v>
      </c>
    </row>
    <row r="16" spans="1:6">
      <c r="A16" s="348" t="s">
        <v>6</v>
      </c>
      <c r="B16" s="334">
        <v>548</v>
      </c>
    </row>
    <row r="17" spans="1:6">
      <c r="A17" s="348" t="s">
        <v>7</v>
      </c>
      <c r="B17" s="334">
        <v>500</v>
      </c>
    </row>
    <row r="18" spans="1:6">
      <c r="A18" s="348" t="s">
        <v>8</v>
      </c>
      <c r="B18" s="334">
        <v>752</v>
      </c>
    </row>
    <row r="19" spans="1:6">
      <c r="A19" s="348" t="s">
        <v>9</v>
      </c>
      <c r="B19" s="334">
        <v>736</v>
      </c>
    </row>
    <row r="20" spans="1:6">
      <c r="A20" s="348" t="s">
        <v>10</v>
      </c>
      <c r="B20" s="334">
        <v>366</v>
      </c>
    </row>
    <row r="21" spans="1:6">
      <c r="A21" s="348" t="s">
        <v>11</v>
      </c>
      <c r="B21" s="334">
        <v>3201</v>
      </c>
    </row>
    <row r="22" spans="1:6">
      <c r="A22" s="348" t="s">
        <v>12</v>
      </c>
      <c r="B22" s="334">
        <v>16849</v>
      </c>
    </row>
    <row r="23" spans="1:6">
      <c r="A23" s="348" t="s">
        <v>13</v>
      </c>
      <c r="B23" s="334">
        <v>85</v>
      </c>
    </row>
    <row r="24" spans="1:6">
      <c r="A24" s="348" t="s">
        <v>14</v>
      </c>
      <c r="B24" s="334">
        <v>7</v>
      </c>
    </row>
    <row r="25" spans="1:6">
      <c r="A25" s="348" t="s">
        <v>15</v>
      </c>
      <c r="B25" s="334">
        <v>763</v>
      </c>
    </row>
    <row r="26" spans="1:6">
      <c r="A26" s="348" t="s">
        <v>16</v>
      </c>
      <c r="B26" s="334">
        <v>12</v>
      </c>
    </row>
    <row r="27" spans="1:6">
      <c r="A27" s="348" t="s">
        <v>17</v>
      </c>
      <c r="B27" s="334">
        <v>10</v>
      </c>
    </row>
    <row r="28" spans="1:6" s="356" customFormat="1">
      <c r="A28" s="355" t="s">
        <v>18</v>
      </c>
      <c r="B28" s="355">
        <v>274661</v>
      </c>
    </row>
    <row r="29" spans="1:6">
      <c r="A29" s="355" t="s">
        <v>812</v>
      </c>
      <c r="B29" s="355">
        <v>23</v>
      </c>
      <c r="C29" s="356"/>
      <c r="D29" s="356"/>
      <c r="E29" s="356"/>
      <c r="F29" s="356"/>
    </row>
    <row r="30" spans="1:6">
      <c r="A30" s="355" t="s">
        <v>813</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4402.9449328000001</v>
      </c>
      <c r="E38" s="334">
        <v>2</v>
      </c>
      <c r="F38" s="334">
        <v>259031.21290000001</v>
      </c>
    </row>
    <row r="39" spans="1:6">
      <c r="A39" s="348" t="s">
        <v>30</v>
      </c>
      <c r="B39" s="348" t="s">
        <v>31</v>
      </c>
      <c r="C39" s="334">
        <v>1697</v>
      </c>
      <c r="D39" s="334">
        <v>23931675.061999999</v>
      </c>
      <c r="E39" s="334">
        <v>2988</v>
      </c>
      <c r="F39" s="334">
        <v>11718004.525</v>
      </c>
    </row>
    <row r="40" spans="1:6">
      <c r="A40" s="348" t="s">
        <v>30</v>
      </c>
      <c r="B40" s="348" t="s">
        <v>29</v>
      </c>
      <c r="C40" s="334">
        <v>0</v>
      </c>
      <c r="D40" s="334">
        <v>0</v>
      </c>
      <c r="E40" s="334">
        <v>0</v>
      </c>
      <c r="F40" s="334">
        <v>0</v>
      </c>
    </row>
    <row r="41" spans="1:6">
      <c r="A41" s="348" t="s">
        <v>32</v>
      </c>
      <c r="B41" s="348" t="s">
        <v>33</v>
      </c>
      <c r="C41" s="334">
        <v>23</v>
      </c>
      <c r="D41" s="334">
        <v>385248.06264000002</v>
      </c>
      <c r="E41" s="334">
        <v>115</v>
      </c>
      <c r="F41" s="334">
        <v>3851539.1464999998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22</v>
      </c>
      <c r="F44" s="334">
        <v>385401.08856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156901288.34999999</v>
      </c>
      <c r="E48" s="334">
        <v>29</v>
      </c>
      <c r="F48" s="334">
        <v>26211669.055</v>
      </c>
    </row>
    <row r="49" spans="1:6">
      <c r="A49" s="348" t="s">
        <v>32</v>
      </c>
      <c r="B49" s="348" t="s">
        <v>40</v>
      </c>
      <c r="C49" s="334">
        <v>0</v>
      </c>
      <c r="D49" s="334">
        <v>0</v>
      </c>
      <c r="E49" s="334">
        <v>3</v>
      </c>
      <c r="F49" s="334">
        <v>242786.81677</v>
      </c>
    </row>
    <row r="50" spans="1:6">
      <c r="A50" s="348" t="s">
        <v>32</v>
      </c>
      <c r="B50" s="348" t="s">
        <v>41</v>
      </c>
      <c r="C50" s="334">
        <v>0</v>
      </c>
      <c r="D50" s="334">
        <v>0</v>
      </c>
      <c r="E50" s="334">
        <v>8</v>
      </c>
      <c r="F50" s="334">
        <v>9196053.7493999992</v>
      </c>
    </row>
    <row r="51" spans="1:6">
      <c r="A51" s="348" t="s">
        <v>42</v>
      </c>
      <c r="B51" s="348" t="s">
        <v>43</v>
      </c>
      <c r="C51" s="334">
        <v>0</v>
      </c>
      <c r="D51" s="334">
        <v>0</v>
      </c>
      <c r="E51" s="334">
        <v>68</v>
      </c>
      <c r="F51" s="334">
        <v>1118687.3783</v>
      </c>
    </row>
    <row r="52" spans="1:6">
      <c r="A52" s="348" t="s">
        <v>42</v>
      </c>
      <c r="B52" s="348" t="s">
        <v>29</v>
      </c>
      <c r="C52" s="334">
        <v>6</v>
      </c>
      <c r="D52" s="334">
        <v>24878875.831999999</v>
      </c>
      <c r="E52" s="334">
        <v>7</v>
      </c>
      <c r="F52" s="334">
        <v>106644.28651999999</v>
      </c>
    </row>
    <row r="53" spans="1:6">
      <c r="A53" s="348" t="s">
        <v>44</v>
      </c>
      <c r="B53" s="348" t="s">
        <v>45</v>
      </c>
      <c r="C53" s="334">
        <v>49</v>
      </c>
      <c r="D53" s="334">
        <v>587511.94365000003</v>
      </c>
      <c r="E53" s="334">
        <v>122</v>
      </c>
      <c r="F53" s="334">
        <v>946039.15281</v>
      </c>
    </row>
    <row r="54" spans="1:6">
      <c r="A54" s="348" t="s">
        <v>46</v>
      </c>
      <c r="B54" s="348" t="s">
        <v>47</v>
      </c>
      <c r="C54" s="334">
        <v>0</v>
      </c>
      <c r="D54" s="334">
        <v>0</v>
      </c>
      <c r="E54" s="334">
        <v>1</v>
      </c>
      <c r="F54" s="334">
        <v>686188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606775.43917999999</v>
      </c>
      <c r="E57" s="334">
        <v>43</v>
      </c>
      <c r="F57" s="334">
        <v>659723.05553999997</v>
      </c>
    </row>
    <row r="58" spans="1:6">
      <c r="A58" s="348" t="s">
        <v>49</v>
      </c>
      <c r="B58" s="348" t="s">
        <v>51</v>
      </c>
      <c r="C58" s="334">
        <v>0</v>
      </c>
      <c r="D58" s="334">
        <v>0</v>
      </c>
      <c r="E58" s="334">
        <v>0</v>
      </c>
      <c r="F58" s="334">
        <v>0</v>
      </c>
    </row>
    <row r="59" spans="1:6">
      <c r="A59" s="348" t="s">
        <v>49</v>
      </c>
      <c r="B59" s="348" t="s">
        <v>52</v>
      </c>
      <c r="C59" s="334">
        <v>18</v>
      </c>
      <c r="D59" s="334">
        <v>625418.08213999995</v>
      </c>
      <c r="E59" s="334">
        <v>100</v>
      </c>
      <c r="F59" s="334">
        <v>1967919.4486</v>
      </c>
    </row>
    <row r="60" spans="1:6">
      <c r="A60" s="348" t="s">
        <v>49</v>
      </c>
      <c r="B60" s="348" t="s">
        <v>53</v>
      </c>
      <c r="C60" s="334">
        <v>9</v>
      </c>
      <c r="D60" s="334">
        <v>312203.83935000002</v>
      </c>
      <c r="E60" s="334">
        <v>20</v>
      </c>
      <c r="F60" s="334">
        <v>397371.06903999997</v>
      </c>
    </row>
    <row r="61" spans="1:6">
      <c r="A61" s="348" t="s">
        <v>49</v>
      </c>
      <c r="B61" s="348" t="s">
        <v>54</v>
      </c>
      <c r="C61" s="334">
        <v>25</v>
      </c>
      <c r="D61" s="334">
        <v>2072573.4887000001</v>
      </c>
      <c r="E61" s="334">
        <v>78</v>
      </c>
      <c r="F61" s="334">
        <v>790583.38020999997</v>
      </c>
    </row>
    <row r="62" spans="1:6">
      <c r="A62" s="348" t="s">
        <v>49</v>
      </c>
      <c r="B62" s="348" t="s">
        <v>55</v>
      </c>
      <c r="C62" s="334">
        <v>4</v>
      </c>
      <c r="D62" s="334">
        <v>613489.66757000005</v>
      </c>
      <c r="E62" s="334">
        <v>6</v>
      </c>
      <c r="F62" s="334">
        <v>95479.577086000005</v>
      </c>
    </row>
    <row r="63" spans="1:6">
      <c r="A63" s="348" t="s">
        <v>49</v>
      </c>
      <c r="B63" s="348" t="s">
        <v>29</v>
      </c>
      <c r="C63" s="334">
        <v>77</v>
      </c>
      <c r="D63" s="334">
        <v>4013054.0545000001</v>
      </c>
      <c r="E63" s="334">
        <v>88</v>
      </c>
      <c r="F63" s="334">
        <v>3435337.0874000001</v>
      </c>
    </row>
    <row r="64" spans="1:6">
      <c r="A64" s="348" t="s">
        <v>56</v>
      </c>
      <c r="B64" s="348" t="s">
        <v>57</v>
      </c>
      <c r="C64" s="334">
        <v>0</v>
      </c>
      <c r="D64" s="334">
        <v>0</v>
      </c>
      <c r="E64" s="334">
        <v>0</v>
      </c>
      <c r="F64" s="334">
        <v>0</v>
      </c>
    </row>
    <row r="65" spans="1:6">
      <c r="A65" s="348" t="s">
        <v>56</v>
      </c>
      <c r="B65" s="348" t="s">
        <v>29</v>
      </c>
      <c r="C65" s="334">
        <v>4</v>
      </c>
      <c r="D65" s="334">
        <v>63795.029161999999</v>
      </c>
      <c r="E65" s="334">
        <v>5</v>
      </c>
      <c r="F65" s="334">
        <v>31756.578946000001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254730.67144000001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19343588</v>
      </c>
      <c r="E73" s="476">
        <v>20868257.322789233</v>
      </c>
    </row>
    <row r="74" spans="1:6">
      <c r="A74" s="348" t="s">
        <v>64</v>
      </c>
      <c r="B74" s="348" t="s">
        <v>667</v>
      </c>
      <c r="C74" s="1212" t="s">
        <v>669</v>
      </c>
      <c r="D74" s="476">
        <v>4426879.069719132</v>
      </c>
      <c r="E74" s="476">
        <v>4588156.4927091571</v>
      </c>
    </row>
    <row r="75" spans="1:6">
      <c r="A75" s="348" t="s">
        <v>65</v>
      </c>
      <c r="B75" s="348" t="s">
        <v>666</v>
      </c>
      <c r="C75" s="1212" t="s">
        <v>670</v>
      </c>
      <c r="D75" s="476">
        <v>7712892</v>
      </c>
      <c r="E75" s="476">
        <v>8706077.0774223078</v>
      </c>
    </row>
    <row r="76" spans="1:6">
      <c r="A76" s="348" t="s">
        <v>65</v>
      </c>
      <c r="B76" s="348" t="s">
        <v>667</v>
      </c>
      <c r="C76" s="1212" t="s">
        <v>671</v>
      </c>
      <c r="D76" s="476">
        <v>1641010.069719132</v>
      </c>
      <c r="E76" s="476">
        <v>1753252.3642434466</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45613.860561736132</v>
      </c>
      <c r="C83" s="476">
        <v>45613.860561736132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1769.1250049193823</v>
      </c>
    </row>
    <row r="92" spans="1:6">
      <c r="A92" s="341" t="s">
        <v>69</v>
      </c>
      <c r="B92" s="342">
        <v>1496.4536999637523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824</v>
      </c>
    </row>
    <row r="98" spans="1:6">
      <c r="A98" s="348" t="s">
        <v>72</v>
      </c>
      <c r="B98" s="334">
        <v>0</v>
      </c>
    </row>
    <row r="99" spans="1:6">
      <c r="A99" s="348" t="s">
        <v>73</v>
      </c>
      <c r="B99" s="334">
        <v>50</v>
      </c>
    </row>
    <row r="100" spans="1:6">
      <c r="A100" s="348" t="s">
        <v>74</v>
      </c>
      <c r="B100" s="334">
        <v>270</v>
      </c>
    </row>
    <row r="101" spans="1:6">
      <c r="A101" s="348" t="s">
        <v>75</v>
      </c>
      <c r="B101" s="334">
        <v>66</v>
      </c>
    </row>
    <row r="102" spans="1:6">
      <c r="A102" s="348" t="s">
        <v>76</v>
      </c>
      <c r="B102" s="334">
        <v>62</v>
      </c>
    </row>
    <row r="103" spans="1:6">
      <c r="A103" s="348" t="s">
        <v>77</v>
      </c>
      <c r="B103" s="334">
        <v>87</v>
      </c>
    </row>
    <row r="104" spans="1:6">
      <c r="A104" s="348" t="s">
        <v>78</v>
      </c>
      <c r="B104" s="334">
        <v>1363</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62638.852955652983</v>
      </c>
      <c r="C3" s="43" t="s">
        <v>170</v>
      </c>
      <c r="D3" s="43"/>
      <c r="E3" s="154"/>
      <c r="F3" s="43"/>
      <c r="G3" s="43"/>
      <c r="H3" s="43"/>
      <c r="I3" s="43"/>
      <c r="J3" s="43"/>
      <c r="K3" s="96"/>
    </row>
    <row r="4" spans="1:11">
      <c r="A4" s="383" t="s">
        <v>171</v>
      </c>
      <c r="B4" s="49">
        <f>IF(ISERROR('SEAP template'!B69),0,'SEAP template'!B69)</f>
        <v>12265.578704883133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2138.8235294117653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0.2118703729812505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12857.142857142857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686.18799999999999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686.18799999999999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0.2118703729812505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145.38290749525831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11718.004525</v>
      </c>
      <c r="C5" s="17">
        <f>IF(ISERROR('Eigen informatie GS &amp; warmtenet'!B57),0,'Eigen informatie GS &amp; warmtenet'!B57)</f>
        <v>0</v>
      </c>
      <c r="D5" s="30">
        <f>(SUM(HH_hh_gas_kWh,HH_rest_gas_kWh)/1000)*0.902</f>
        <v>21586.370905923999</v>
      </c>
      <c r="E5" s="17">
        <f>B46*B57</f>
        <v>2632.9916786059439</v>
      </c>
      <c r="F5" s="17">
        <f>B51*B62</f>
        <v>14052.725584006479</v>
      </c>
      <c r="G5" s="18"/>
      <c r="H5" s="17"/>
      <c r="I5" s="17"/>
      <c r="J5" s="17">
        <f>B50*B61+C50*C61</f>
        <v>0</v>
      </c>
      <c r="K5" s="17"/>
      <c r="L5" s="17"/>
      <c r="M5" s="17"/>
      <c r="N5" s="17">
        <f>B48*B59+C48*C59</f>
        <v>9870.7884532038715</v>
      </c>
      <c r="O5" s="17">
        <f>B69*B70*B71</f>
        <v>171.96666666666667</v>
      </c>
      <c r="P5" s="17">
        <f>B77*B78*B79/1000-B77*B78*B79/1000/B80</f>
        <v>305.06666666666666</v>
      </c>
    </row>
    <row r="6" spans="1:16">
      <c r="A6" s="16" t="s">
        <v>624</v>
      </c>
      <c r="B6" s="843">
        <f>kWh_PV_kleiner_dan_10kW</f>
        <v>1769.1250049193823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13487.129529919383</v>
      </c>
      <c r="C8" s="21">
        <f>C5</f>
        <v>0</v>
      </c>
      <c r="D8" s="21">
        <f>D5</f>
        <v>21586.370905923999</v>
      </c>
      <c r="E8" s="21">
        <f>E5</f>
        <v>2632.9916786059439</v>
      </c>
      <c r="F8" s="21">
        <f>F5</f>
        <v>14052.725584006479</v>
      </c>
      <c r="G8" s="21"/>
      <c r="H8" s="21"/>
      <c r="I8" s="21"/>
      <c r="J8" s="21">
        <f>J5</f>
        <v>0</v>
      </c>
      <c r="K8" s="21"/>
      <c r="L8" s="21">
        <f>L5</f>
        <v>0</v>
      </c>
      <c r="M8" s="21">
        <f>M5</f>
        <v>0</v>
      </c>
      <c r="N8" s="21">
        <f>N5</f>
        <v>9870.7884532038715</v>
      </c>
      <c r="O8" s="21">
        <f>O5</f>
        <v>171.96666666666667</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0.2118703729812505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2857.5231639504573</v>
      </c>
      <c r="C12" s="23">
        <f ca="1">C10*C8</f>
        <v>0</v>
      </c>
      <c r="D12" s="23">
        <f>D8*D10</f>
        <v>4360.446922996648</v>
      </c>
      <c r="E12" s="23">
        <f>E10*E8</f>
        <v>597.68911104354925</v>
      </c>
      <c r="F12" s="23">
        <f>F10*F8</f>
        <v>3752.07773092973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824</v>
      </c>
      <c r="C18" s="166" t="s">
        <v>111</v>
      </c>
      <c r="D18" s="228"/>
      <c r="E18" s="15"/>
    </row>
    <row r="19" spans="1:7">
      <c r="A19" s="171" t="s">
        <v>72</v>
      </c>
      <c r="B19" s="37">
        <f>aantalw2001_ander</f>
        <v>0</v>
      </c>
      <c r="C19" s="166" t="s">
        <v>111</v>
      </c>
      <c r="D19" s="229"/>
      <c r="E19" s="15"/>
    </row>
    <row r="20" spans="1:7">
      <c r="A20" s="171" t="s">
        <v>73</v>
      </c>
      <c r="B20" s="37">
        <f>aantalw2001_propaan</f>
        <v>50</v>
      </c>
      <c r="C20" s="167">
        <f>IF(ISERROR(B20/SUM($B$20,$B$21,$B$22)*100),0,B20/SUM($B$20,$B$21,$B$22)*100)</f>
        <v>12.953367875647666</v>
      </c>
      <c r="D20" s="229"/>
      <c r="E20" s="15"/>
    </row>
    <row r="21" spans="1:7">
      <c r="A21" s="171" t="s">
        <v>74</v>
      </c>
      <c r="B21" s="37">
        <f>aantalw2001_elektriciteit</f>
        <v>270</v>
      </c>
      <c r="C21" s="167">
        <f>IF(ISERROR(B21/SUM($B$20,$B$21,$B$22)*100),0,B21/SUM($B$20,$B$21,$B$22)*100)</f>
        <v>69.948186528497416</v>
      </c>
      <c r="D21" s="229"/>
      <c r="E21" s="15"/>
    </row>
    <row r="22" spans="1:7">
      <c r="A22" s="171" t="s">
        <v>75</v>
      </c>
      <c r="B22" s="37">
        <f>aantalw2001_hout</f>
        <v>66</v>
      </c>
      <c r="C22" s="167">
        <f>IF(ISERROR(B22/SUM($B$20,$B$21,$B$22)*100),0,B22/SUM($B$20,$B$21,$B$22)*100)</f>
        <v>17.098445595854923</v>
      </c>
      <c r="D22" s="229"/>
      <c r="E22" s="15"/>
    </row>
    <row r="23" spans="1:7">
      <c r="A23" s="171" t="s">
        <v>76</v>
      </c>
      <c r="B23" s="37">
        <f>aantalw2001_niet_gespec</f>
        <v>62</v>
      </c>
      <c r="C23" s="166" t="s">
        <v>111</v>
      </c>
      <c r="D23" s="228"/>
      <c r="E23" s="15"/>
    </row>
    <row r="24" spans="1:7">
      <c r="A24" s="171" t="s">
        <v>77</v>
      </c>
      <c r="B24" s="37">
        <f>aantalw2001_steenkool</f>
        <v>87</v>
      </c>
      <c r="C24" s="166" t="s">
        <v>111</v>
      </c>
      <c r="D24" s="229"/>
      <c r="E24" s="15"/>
    </row>
    <row r="25" spans="1:7">
      <c r="A25" s="171" t="s">
        <v>78</v>
      </c>
      <c r="B25" s="37">
        <f>aantalw2001_stookolie</f>
        <v>1363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3189</v>
      </c>
      <c r="C28" s="36"/>
      <c r="D28" s="228"/>
    </row>
    <row r="29" spans="1:7" s="15" customFormat="1">
      <c r="A29" s="230" t="s">
        <v>699</v>
      </c>
      <c r="B29" s="37">
        <f>SUM(HH_hh_gas_aantal,HH_rest_gas_aantal)</f>
        <v>1697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1697</v>
      </c>
      <c r="C32" s="167">
        <f>IF(ISERROR(B32/SUM($B$32,$B$34,$B$35,$B$36,$B$38,$B$39)*100),0,B32/SUM($B$32,$B$34,$B$35,$B$36,$B$38,$B$39)*100)</f>
        <v>53.482508666876768</v>
      </c>
      <c r="D32" s="233"/>
      <c r="G32" s="15"/>
    </row>
    <row r="33" spans="1:7">
      <c r="A33" s="171" t="s">
        <v>72</v>
      </c>
      <c r="B33" s="34" t="s">
        <v>111</v>
      </c>
      <c r="C33" s="167"/>
      <c r="D33" s="233"/>
      <c r="G33" s="15"/>
    </row>
    <row r="34" spans="1:7">
      <c r="A34" s="171" t="s">
        <v>73</v>
      </c>
      <c r="B34" s="33">
        <f>IF((($B$28-$B$32-$B$39-$B$77-$B$38)*C20/100)&lt;0,0,($B$28-$B$32-$B$39-$B$77-$B$38)*C20/100)</f>
        <v>116.4119170984456</v>
      </c>
      <c r="C34" s="167">
        <f>IF(ISERROR(B34/SUM($B$32,$B$34,$B$35,$B$36,$B$38,$B$39)*100),0,B34/SUM($B$32,$B$34,$B$35,$B$36,$B$38,$B$39)*100)</f>
        <v>3.6688281468151778</v>
      </c>
      <c r="D34" s="233"/>
      <c r="G34" s="15"/>
    </row>
    <row r="35" spans="1:7">
      <c r="A35" s="171" t="s">
        <v>74</v>
      </c>
      <c r="B35" s="33">
        <f>IF((($B$28-$B$32-$B$39-$B$77-$B$38)*C21/100)&lt;0,0,($B$28-$B$32-$B$39-$B$77-$B$38)*C21/100)</f>
        <v>628.62435233160625</v>
      </c>
      <c r="C35" s="167">
        <f>IF(ISERROR(B35/SUM($B$32,$B$34,$B$35,$B$36,$B$38,$B$39)*100),0,B35/SUM($B$32,$B$34,$B$35,$B$36,$B$38,$B$39)*100)</f>
        <v>19.811671992801962</v>
      </c>
      <c r="D35" s="233"/>
      <c r="G35" s="15"/>
    </row>
    <row r="36" spans="1:7">
      <c r="A36" s="171" t="s">
        <v>75</v>
      </c>
      <c r="B36" s="33">
        <f>IF((($B$28-$B$32-$B$39-$B$77-$B$38)*C22/100)&lt;0,0,($B$28-$B$32-$B$39-$B$77-$B$38)*C22/100)</f>
        <v>153.6637305699482</v>
      </c>
      <c r="C36" s="167">
        <f>IF(ISERROR(B36/SUM($B$32,$B$34,$B$35,$B$36,$B$38,$B$39)*100),0,B36/SUM($B$32,$B$34,$B$35,$B$36,$B$38,$B$39)*100)</f>
        <v>4.8428531537960353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577.29999999999995</v>
      </c>
      <c r="C39" s="167">
        <f>IF(ISERROR(B39/SUM($B$32,$B$34,$B$35,$B$36,$B$38,$B$39)*100),0,B39/SUM($B$32,$B$34,$B$35,$B$36,$B$38,$B$39)*100)</f>
        <v>18.194138039710054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1697</v>
      </c>
      <c r="C44" s="34" t="s">
        <v>111</v>
      </c>
      <c r="D44" s="174"/>
    </row>
    <row r="45" spans="1:7">
      <c r="A45" s="171" t="s">
        <v>72</v>
      </c>
      <c r="B45" s="33" t="str">
        <f t="shared" si="0"/>
        <v>-</v>
      </c>
      <c r="C45" s="34" t="s">
        <v>111</v>
      </c>
      <c r="D45" s="174"/>
    </row>
    <row r="46" spans="1:7">
      <c r="A46" s="171" t="s">
        <v>73</v>
      </c>
      <c r="B46" s="33">
        <f t="shared" si="0"/>
        <v>116.4119170984456</v>
      </c>
      <c r="C46" s="34" t="s">
        <v>111</v>
      </c>
      <c r="D46" s="174"/>
    </row>
    <row r="47" spans="1:7">
      <c r="A47" s="171" t="s">
        <v>74</v>
      </c>
      <c r="B47" s="33">
        <f t="shared" si="0"/>
        <v>628.62435233160625</v>
      </c>
      <c r="C47" s="34" t="s">
        <v>111</v>
      </c>
      <c r="D47" s="174"/>
    </row>
    <row r="48" spans="1:7">
      <c r="A48" s="171" t="s">
        <v>75</v>
      </c>
      <c r="B48" s="33">
        <f t="shared" si="0"/>
        <v>153.6637305699482</v>
      </c>
      <c r="C48" s="33">
        <f>B48*10</f>
        <v>1536.6373056994821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577.29999999999995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7346.413617876</v>
      </c>
      <c r="C5" s="17">
        <f>IF(ISERROR('Eigen informatie GS &amp; warmtenet'!B58),0,'Eigen informatie GS &amp; warmtenet'!B58)</f>
        <v>0</v>
      </c>
      <c r="D5" s="30">
        <f>SUM(D6:D12)</f>
        <v>7435.6501434388811</v>
      </c>
      <c r="E5" s="17">
        <f>SUM(E6:E12)</f>
        <v>147.25533842600822</v>
      </c>
      <c r="F5" s="17">
        <f>SUM(F6:F12)</f>
        <v>1833.1829623946678</v>
      </c>
      <c r="G5" s="18"/>
      <c r="H5" s="17"/>
      <c r="I5" s="17"/>
      <c r="J5" s="17">
        <f>SUM(J6:J12)</f>
        <v>0</v>
      </c>
      <c r="K5" s="17"/>
      <c r="L5" s="17"/>
      <c r="M5" s="17"/>
      <c r="N5" s="17">
        <f>SUM(N6:N12)</f>
        <v>826.44935100569251</v>
      </c>
      <c r="O5" s="17">
        <f>B38*B39*B40</f>
        <v>0</v>
      </c>
      <c r="P5" s="17">
        <f>B46*B47*B48/1000-B46*B47*B48/1000/B49</f>
        <v>19.066666666666666</v>
      </c>
      <c r="R5" s="32"/>
    </row>
    <row r="6" spans="1:18">
      <c r="A6" s="32" t="s">
        <v>54</v>
      </c>
      <c r="B6" s="37">
        <f>B26</f>
        <v>790.58338020999997</v>
      </c>
      <c r="C6" s="33"/>
      <c r="D6" s="37">
        <f>IF(ISERROR(TER_kantoor_gas_kWh/1000),0,TER_kantoor_gas_kWh/1000)*0.902</f>
        <v>1869.4612868074003</v>
      </c>
      <c r="E6" s="33">
        <f>$C$26*'E Balans VL '!I12/100/3.6*1000000</f>
        <v>10.349710304460062</v>
      </c>
      <c r="F6" s="33">
        <f>$C$26*('E Balans VL '!L12+'E Balans VL '!N12)/100/3.6*1000000</f>
        <v>201.59059237007293</v>
      </c>
      <c r="G6" s="34"/>
      <c r="H6" s="33"/>
      <c r="I6" s="33"/>
      <c r="J6" s="33">
        <f>$C$26*('E Balans VL '!D12+'E Balans VL '!E12)/100/3.6*1000000</f>
        <v>0</v>
      </c>
      <c r="K6" s="33"/>
      <c r="L6" s="33"/>
      <c r="M6" s="33"/>
      <c r="N6" s="33">
        <f>$C$26*'E Balans VL '!Y12/100/3.6*1000000</f>
        <v>0.79324562739699034</v>
      </c>
      <c r="O6" s="33"/>
      <c r="P6" s="33"/>
      <c r="R6" s="32"/>
    </row>
    <row r="7" spans="1:18">
      <c r="A7" s="32" t="s">
        <v>53</v>
      </c>
      <c r="B7" s="37">
        <f t="shared" ref="B7:B12" si="0">B27</f>
        <v>397.37106903999995</v>
      </c>
      <c r="C7" s="33"/>
      <c r="D7" s="37">
        <f>IF(ISERROR(TER_horeca_gas_kWh/1000),0,TER_horeca_gas_kWh/1000)*0.902</f>
        <v>281.60786309370002</v>
      </c>
      <c r="E7" s="33">
        <f>$C$27*'E Balans VL '!I9/100/3.6*1000000</f>
        <v>13.150565258095833</v>
      </c>
      <c r="F7" s="33">
        <f>$C$27*('E Balans VL '!L9+'E Balans VL '!N9)/100/3.6*1000000</f>
        <v>170.86803677679598</v>
      </c>
      <c r="G7" s="34"/>
      <c r="H7" s="33"/>
      <c r="I7" s="33"/>
      <c r="J7" s="33">
        <f>$C$27*('E Balans VL '!D9+'E Balans VL '!E9)/100/3.6*1000000</f>
        <v>0</v>
      </c>
      <c r="K7" s="33"/>
      <c r="L7" s="33"/>
      <c r="M7" s="33"/>
      <c r="N7" s="33">
        <f>$C$27*'E Balans VL '!Y9/100/3.6*1000000</f>
        <v>9.5652986779105956E-2</v>
      </c>
      <c r="O7" s="33"/>
      <c r="P7" s="33"/>
      <c r="R7" s="32"/>
    </row>
    <row r="8" spans="1:18">
      <c r="A8" s="6" t="s">
        <v>52</v>
      </c>
      <c r="B8" s="37">
        <f t="shared" si="0"/>
        <v>1967.9194485999999</v>
      </c>
      <c r="C8" s="33"/>
      <c r="D8" s="37">
        <f>IF(ISERROR(TER_handel_gas_kWh/1000),0,TER_handel_gas_kWh/1000)*0.902</f>
        <v>564.12711009027998</v>
      </c>
      <c r="E8" s="33">
        <f>$C$28*'E Balans VL '!I13/100/3.6*1000000</f>
        <v>62.110544689228561</v>
      </c>
      <c r="F8" s="33">
        <f>$C$28*('E Balans VL '!L13+'E Balans VL '!N13)/100/3.6*1000000</f>
        <v>385.94365678050639</v>
      </c>
      <c r="G8" s="34"/>
      <c r="H8" s="33"/>
      <c r="I8" s="33"/>
      <c r="J8" s="33">
        <f>$C$28*('E Balans VL '!D13+'E Balans VL '!E13)/100/3.6*1000000</f>
        <v>0</v>
      </c>
      <c r="K8" s="33"/>
      <c r="L8" s="33"/>
      <c r="M8" s="33"/>
      <c r="N8" s="33">
        <f>$C$28*'E Balans VL '!Y13/100/3.6*1000000</f>
        <v>2.3355383186176848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659.72305554000002</v>
      </c>
      <c r="C10" s="33"/>
      <c r="D10" s="37">
        <f>IF(ISERROR(TER_ander_gas_kWh/1000),0,TER_ander_gas_kWh/1000)*0.902</f>
        <v>547.31144614036009</v>
      </c>
      <c r="E10" s="33">
        <f>$C$30*'E Balans VL '!I14/100/3.6*1000000</f>
        <v>0.99206833137193939</v>
      </c>
      <c r="F10" s="33">
        <f>$C$30*('E Balans VL '!L14+'E Balans VL '!N14)/100/3.6*1000000</f>
        <v>145.64558475641329</v>
      </c>
      <c r="G10" s="34"/>
      <c r="H10" s="33"/>
      <c r="I10" s="33"/>
      <c r="J10" s="33">
        <f>$C$30*('E Balans VL '!D14+'E Balans VL '!E14)/100/3.6*1000000</f>
        <v>0</v>
      </c>
      <c r="K10" s="33"/>
      <c r="L10" s="33"/>
      <c r="M10" s="33"/>
      <c r="N10" s="33">
        <f>$C$30*'E Balans VL '!Y14/100/3.6*1000000</f>
        <v>519.90616545319847</v>
      </c>
      <c r="O10" s="33"/>
      <c r="P10" s="33"/>
      <c r="R10" s="32"/>
    </row>
    <row r="11" spans="1:18">
      <c r="A11" s="32" t="s">
        <v>55</v>
      </c>
      <c r="B11" s="37">
        <f t="shared" si="0"/>
        <v>95.479577086000006</v>
      </c>
      <c r="C11" s="33"/>
      <c r="D11" s="37">
        <f>IF(ISERROR(TER_onderwijs_gas_kWh/1000),0,TER_onderwijs_gas_kWh/1000)*0.902</f>
        <v>553.36768014814004</v>
      </c>
      <c r="E11" s="33">
        <f>$C$31*'E Balans VL '!I11/100/3.6*1000000</f>
        <v>0.16814753640934868</v>
      </c>
      <c r="F11" s="33">
        <f>$C$31*('E Balans VL '!L11+'E Balans VL '!N11)/100/3.6*1000000</f>
        <v>44.084648440696093</v>
      </c>
      <c r="G11" s="34"/>
      <c r="H11" s="33"/>
      <c r="I11" s="33"/>
      <c r="J11" s="33">
        <f>$C$31*('E Balans VL '!D11+'E Balans VL '!E11)/100/3.6*1000000</f>
        <v>0</v>
      </c>
      <c r="K11" s="33"/>
      <c r="L11" s="33"/>
      <c r="M11" s="33"/>
      <c r="N11" s="33">
        <f>$C$31*'E Balans VL '!Y11/100/3.6*1000000</f>
        <v>0.17787977247716089</v>
      </c>
      <c r="O11" s="33"/>
      <c r="P11" s="33"/>
      <c r="R11" s="32"/>
    </row>
    <row r="12" spans="1:18">
      <c r="A12" s="32" t="s">
        <v>260</v>
      </c>
      <c r="B12" s="37">
        <f t="shared" si="0"/>
        <v>3435.3370874000002</v>
      </c>
      <c r="C12" s="33"/>
      <c r="D12" s="37">
        <f>IF(ISERROR(TER_rest_gas_kWh/1000),0,TER_rest_gas_kWh/1000)*0.902</f>
        <v>3619.7747571589998</v>
      </c>
      <c r="E12" s="33">
        <f>$C$32*'E Balans VL '!I8/100/3.6*1000000</f>
        <v>60.484302306442487</v>
      </c>
      <c r="F12" s="33">
        <f>$C$32*('E Balans VL '!L8+'E Balans VL '!N8)/100/3.6*1000000</f>
        <v>885.05044327018322</v>
      </c>
      <c r="G12" s="34"/>
      <c r="H12" s="33"/>
      <c r="I12" s="33"/>
      <c r="J12" s="33">
        <f>$C$32*('E Balans VL '!D8+'E Balans VL '!E8)/100/3.6*1000000</f>
        <v>0</v>
      </c>
      <c r="K12" s="33"/>
      <c r="L12" s="33"/>
      <c r="M12" s="33"/>
      <c r="N12" s="33">
        <f>$C$32*'E Balans VL '!Y8/100/3.6*1000000</f>
        <v>303.14086884722315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7346.413617876</v>
      </c>
      <c r="C16" s="21">
        <f t="shared" ca="1" si="1"/>
        <v>0</v>
      </c>
      <c r="D16" s="21">
        <f t="shared" ca="1" si="1"/>
        <v>7435.6501434388811</v>
      </c>
      <c r="E16" s="21">
        <f t="shared" si="1"/>
        <v>147.25533842600822</v>
      </c>
      <c r="F16" s="21">
        <f t="shared" ca="1" si="1"/>
        <v>1833.1829623946678</v>
      </c>
      <c r="G16" s="21">
        <f t="shared" si="1"/>
        <v>0</v>
      </c>
      <c r="H16" s="21">
        <f t="shared" si="1"/>
        <v>0</v>
      </c>
      <c r="I16" s="21">
        <f t="shared" si="1"/>
        <v>0</v>
      </c>
      <c r="J16" s="21">
        <f t="shared" si="1"/>
        <v>0</v>
      </c>
      <c r="K16" s="21">
        <f t="shared" si="1"/>
        <v>0</v>
      </c>
      <c r="L16" s="21">
        <f t="shared" ca="1" si="1"/>
        <v>0</v>
      </c>
      <c r="M16" s="21">
        <f t="shared" si="1"/>
        <v>0</v>
      </c>
      <c r="N16" s="21">
        <f t="shared" ca="1" si="1"/>
        <v>826.44935100569251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0.2118703729812505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1556.4873932939261</v>
      </c>
      <c r="C20" s="23">
        <f t="shared" ref="C20:P20" ca="1" si="2">C16*C18</f>
        <v>0</v>
      </c>
      <c r="D20" s="23">
        <f t="shared" ca="1" si="2"/>
        <v>1502.0013289746541</v>
      </c>
      <c r="E20" s="23">
        <f t="shared" si="2"/>
        <v>33.426961822703866</v>
      </c>
      <c r="F20" s="23">
        <f t="shared" ca="1" si="2"/>
        <v>489.45985095937635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790.58338020999997</v>
      </c>
      <c r="C26" s="39">
        <f>IF(ISERROR(B26*3.6/1000000/'E Balans VL '!Z12*100),0,B26*3.6/1000000/'E Balans VL '!Z12*100)</f>
        <v>1.6934910184410394E-2</v>
      </c>
      <c r="D26" s="237" t="s">
        <v>660</v>
      </c>
      <c r="F26" s="6"/>
    </row>
    <row r="27" spans="1:18">
      <c r="A27" s="231" t="s">
        <v>53</v>
      </c>
      <c r="B27" s="33">
        <f>IF(ISERROR(TER_horeca_ele_kWh/1000),0,TER_horeca_ele_kWh/1000)</f>
        <v>397.37106903999995</v>
      </c>
      <c r="C27" s="39">
        <f>IF(ISERROR(B27*3.6/1000000/'E Balans VL '!Z9*100),0,B27*3.6/1000000/'E Balans VL '!Z9*100)</f>
        <v>3.1887647042722643E-2</v>
      </c>
      <c r="D27" s="237" t="s">
        <v>660</v>
      </c>
      <c r="F27" s="6"/>
    </row>
    <row r="28" spans="1:18">
      <c r="A28" s="171" t="s">
        <v>52</v>
      </c>
      <c r="B28" s="33">
        <f>IF(ISERROR(TER_handel_ele_kWh/1000),0,TER_handel_ele_kWh/1000)</f>
        <v>1967.9194485999999</v>
      </c>
      <c r="C28" s="39">
        <f>IF(ISERROR(B28*3.6/1000000/'E Balans VL '!Z13*100),0,B28*3.6/1000000/'E Balans VL '!Z13*100)</f>
        <v>5.8042336197966046E-2</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659.72305554000002</v>
      </c>
      <c r="C30" s="39">
        <f>IF(ISERROR(B30*3.6/1000000/'E Balans VL '!Z14*100),0,B30*3.6/1000000/'E Balans VL '!Z14*100)</f>
        <v>4.9831473012877991E-2</v>
      </c>
      <c r="D30" s="237" t="s">
        <v>660</v>
      </c>
      <c r="F30" s="6"/>
    </row>
    <row r="31" spans="1:18">
      <c r="A31" s="231" t="s">
        <v>55</v>
      </c>
      <c r="B31" s="33">
        <f>IF(ISERROR(TER_onderwijs_ele_kWh/1000),0,TER_onderwijs_ele_kWh/1000)</f>
        <v>95.479577086000006</v>
      </c>
      <c r="C31" s="39">
        <f>IF(ISERROR(B31*3.6/1000000/'E Balans VL '!Z11*100),0,B31*3.6/1000000/'E Balans VL '!Z11*100)</f>
        <v>1.9280513968183092E-2</v>
      </c>
      <c r="D31" s="237" t="s">
        <v>660</v>
      </c>
    </row>
    <row r="32" spans="1:18">
      <c r="A32" s="231" t="s">
        <v>260</v>
      </c>
      <c r="B32" s="33">
        <f>IF(ISERROR(TER_rest_ele_kWh/1000),0,TER_rest_ele_kWh/1000)</f>
        <v>3435.3370874000002</v>
      </c>
      <c r="C32" s="39">
        <f>IF(ISERROR(B32*3.6/1000000/'E Balans VL '!Z8*100),0,B32*3.6/1000000/'E Balans VL '!Z8*100)</f>
        <v>2.848372812693022E-2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39887.44985623</v>
      </c>
      <c r="C5" s="17">
        <f>IF(ISERROR('Eigen informatie GS &amp; warmtenet'!B59),0,'Eigen informatie GS &amp; warmtenet'!B59)</f>
        <v>0</v>
      </c>
      <c r="D5" s="30">
        <f>SUM(D6:D15)</f>
        <v>141872.45584420129</v>
      </c>
      <c r="E5" s="17">
        <f>SUM(E6:E15)</f>
        <v>2653.7194027761579</v>
      </c>
      <c r="F5" s="17">
        <f>SUM(F6:F15)</f>
        <v>11290.910211801982</v>
      </c>
      <c r="G5" s="18"/>
      <c r="H5" s="17"/>
      <c r="I5" s="17"/>
      <c r="J5" s="17">
        <f>SUM(J6:J15)</f>
        <v>212.5010298148743</v>
      </c>
      <c r="K5" s="17"/>
      <c r="L5" s="17"/>
      <c r="M5" s="17"/>
      <c r="N5" s="17">
        <f>SUM(N6:N15)</f>
        <v>9951.2649350800402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385.40108856000001</v>
      </c>
      <c r="C8" s="33"/>
      <c r="D8" s="37">
        <f>IF( ISERROR(IND_metaal_Gas_kWH/1000),0,IND_metaal_Gas_kWH/1000)*0.902</f>
        <v>0</v>
      </c>
      <c r="E8" s="33">
        <f>C30*'E Balans VL '!I18/100/3.6*1000000</f>
        <v>13.867897083716903</v>
      </c>
      <c r="F8" s="33">
        <f>C30*'E Balans VL '!L18/100/3.6*1000000+C30*'E Balans VL '!N18/100/3.6*1000000</f>
        <v>168.29216201501976</v>
      </c>
      <c r="G8" s="34"/>
      <c r="H8" s="33"/>
      <c r="I8" s="33"/>
      <c r="J8" s="40">
        <f>C30*'E Balans VL '!D18/100/3.6*1000000+C30*'E Balans VL '!E18/100/3.6*1000000</f>
        <v>0</v>
      </c>
      <c r="K8" s="33"/>
      <c r="L8" s="33"/>
      <c r="M8" s="33"/>
      <c r="N8" s="33">
        <f>C30*'E Balans VL '!Y18/100/3.6*1000000</f>
        <v>19.316040650835877</v>
      </c>
      <c r="O8" s="33"/>
      <c r="P8" s="33"/>
      <c r="R8" s="32"/>
    </row>
    <row r="9" spans="1:18">
      <c r="A9" s="6" t="s">
        <v>33</v>
      </c>
      <c r="B9" s="37">
        <f t="shared" si="0"/>
        <v>3851.5391464999998</v>
      </c>
      <c r="C9" s="33"/>
      <c r="D9" s="37">
        <f>IF( ISERROR(IND_andere_gas_kWh/1000),0,IND_andere_gas_kWh/1000)*0.902</f>
        <v>347.49375250128003</v>
      </c>
      <c r="E9" s="33">
        <f>C31*'E Balans VL '!I19/100/3.6*1000000</f>
        <v>982.82564667281133</v>
      </c>
      <c r="F9" s="33">
        <f>C31*'E Balans VL '!L19/100/3.6*1000000+C31*'E Balans VL '!N19/100/3.6*1000000</f>
        <v>3315.8857121997303</v>
      </c>
      <c r="G9" s="34"/>
      <c r="H9" s="33"/>
      <c r="I9" s="33"/>
      <c r="J9" s="40">
        <f>C31*'E Balans VL '!D19/100/3.6*1000000+C31*'E Balans VL '!E19/100/3.6*1000000</f>
        <v>0</v>
      </c>
      <c r="K9" s="33"/>
      <c r="L9" s="33"/>
      <c r="M9" s="33"/>
      <c r="N9" s="33">
        <f>C31*'E Balans VL '!Y19/100/3.6*1000000</f>
        <v>1204.5081925506925</v>
      </c>
      <c r="O9" s="33"/>
      <c r="P9" s="33"/>
      <c r="R9" s="32"/>
    </row>
    <row r="10" spans="1:18">
      <c r="A10" s="6" t="s">
        <v>41</v>
      </c>
      <c r="B10" s="37">
        <f t="shared" si="0"/>
        <v>9196.0537494</v>
      </c>
      <c r="C10" s="33"/>
      <c r="D10" s="37">
        <f>IF( ISERROR(IND_voed_gas_kWh/1000),0,IND_voed_gas_kWh/1000)*0.902</f>
        <v>0</v>
      </c>
      <c r="E10" s="33">
        <f>C32*'E Balans VL '!I20/100/3.6*1000000</f>
        <v>233.77631352632497</v>
      </c>
      <c r="F10" s="33">
        <f>C32*'E Balans VL '!L20/100/3.6*1000000+C32*'E Balans VL '!N20/100/3.6*1000000</f>
        <v>2080.9289188174616</v>
      </c>
      <c r="G10" s="34"/>
      <c r="H10" s="33"/>
      <c r="I10" s="33"/>
      <c r="J10" s="40">
        <f>C32*'E Balans VL '!D20/100/3.6*1000000+C32*'E Balans VL '!E20/100/3.6*1000000</f>
        <v>0</v>
      </c>
      <c r="K10" s="33"/>
      <c r="L10" s="33"/>
      <c r="M10" s="33"/>
      <c r="N10" s="33">
        <f>C32*'E Balans VL '!Y20/100/3.6*1000000</f>
        <v>3448.7694248665325</v>
      </c>
      <c r="O10" s="33"/>
      <c r="P10" s="33"/>
      <c r="R10" s="32"/>
    </row>
    <row r="11" spans="1:18">
      <c r="A11" s="6" t="s">
        <v>40</v>
      </c>
      <c r="B11" s="37">
        <f t="shared" si="0"/>
        <v>242.78681677</v>
      </c>
      <c r="C11" s="33"/>
      <c r="D11" s="37">
        <f>IF( ISERROR(IND_textiel_gas_kWh/1000),0,IND_textiel_gas_kWh/1000)*0.902</f>
        <v>0</v>
      </c>
      <c r="E11" s="33">
        <f>C33*'E Balans VL '!I21/100/3.6*1000000</f>
        <v>0.66651510295640326</v>
      </c>
      <c r="F11" s="33">
        <f>C33*'E Balans VL '!L21/100/3.6*1000000+C33*'E Balans VL '!N21/100/3.6*1000000</f>
        <v>12.871545202102526</v>
      </c>
      <c r="G11" s="34"/>
      <c r="H11" s="33"/>
      <c r="I11" s="33"/>
      <c r="J11" s="40">
        <f>C33*'E Balans VL '!D21/100/3.6*1000000+C33*'E Balans VL '!E21/100/3.6*1000000</f>
        <v>0</v>
      </c>
      <c r="K11" s="33"/>
      <c r="L11" s="33"/>
      <c r="M11" s="33"/>
      <c r="N11" s="33">
        <f>C33*'E Balans VL '!Y21/100/3.6*1000000</f>
        <v>0.48796132471249598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26211.669054999998</v>
      </c>
      <c r="C15" s="33"/>
      <c r="D15" s="37">
        <f>IF( ISERROR(IND_rest_gas_kWh/1000),0,IND_rest_gas_kWh/1000)*0.902</f>
        <v>141524.9620917</v>
      </c>
      <c r="E15" s="33">
        <f>C37*'E Balans VL '!I15/100/3.6*1000000</f>
        <v>1422.5830303903483</v>
      </c>
      <c r="F15" s="33">
        <f>C37*'E Balans VL '!L15/100/3.6*1000000+C37*'E Balans VL '!N15/100/3.6*1000000</f>
        <v>5712.9318735676679</v>
      </c>
      <c r="G15" s="34"/>
      <c r="H15" s="33"/>
      <c r="I15" s="33"/>
      <c r="J15" s="40">
        <f>C37*'E Balans VL '!D15/100/3.6*1000000+C37*'E Balans VL '!E15/100/3.6*1000000</f>
        <v>212.5010298148743</v>
      </c>
      <c r="K15" s="33"/>
      <c r="L15" s="33"/>
      <c r="M15" s="33"/>
      <c r="N15" s="33">
        <f>C37*'E Balans VL '!Y15/100/3.6*1000000</f>
        <v>5278.1833156872672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39887.44985623</v>
      </c>
      <c r="C18" s="21">
        <f>C5+C16</f>
        <v>0</v>
      </c>
      <c r="D18" s="21">
        <f>MAX((D5+D16),0)</f>
        <v>141872.45584420129</v>
      </c>
      <c r="E18" s="21">
        <f>MAX((E5+E16),0)</f>
        <v>2653.7194027761579</v>
      </c>
      <c r="F18" s="21">
        <f>MAX((F5+F16),0)</f>
        <v>11290.910211801982</v>
      </c>
      <c r="G18" s="21"/>
      <c r="H18" s="21"/>
      <c r="I18" s="21"/>
      <c r="J18" s="21">
        <f>MAX((J5+J16),0)</f>
        <v>212.5010298148743</v>
      </c>
      <c r="K18" s="21"/>
      <c r="L18" s="21">
        <f>MAX((L5+L16),0)</f>
        <v>0</v>
      </c>
      <c r="M18" s="21"/>
      <c r="N18" s="21">
        <f>MAX((N5+N16),0)</f>
        <v>9951.2649350800402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0.2118703729812505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8450.9688783103775</v>
      </c>
      <c r="C22" s="23">
        <f ca="1">C18*C20</f>
        <v>0</v>
      </c>
      <c r="D22" s="23">
        <f>D18*D20</f>
        <v>28658.236080528663</v>
      </c>
      <c r="E22" s="23">
        <f>E18*E20</f>
        <v>602.39430443018784</v>
      </c>
      <c r="F22" s="23">
        <f>F18*F20</f>
        <v>3014.6730265511292</v>
      </c>
      <c r="G22" s="23"/>
      <c r="H22" s="23"/>
      <c r="I22" s="23"/>
      <c r="J22" s="23">
        <f>J18*J20</f>
        <v>75.2253645544655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385.40108856000001</v>
      </c>
      <c r="C30" s="39">
        <f>IF(ISERROR(B30*3.6/1000000/'E Balans VL '!Z18*100),0,B30*3.6/1000000/'E Balans VL '!Z18*100)</f>
        <v>8.1658227884295359E-2</v>
      </c>
      <c r="D30" s="237" t="s">
        <v>660</v>
      </c>
    </row>
    <row r="31" spans="1:18">
      <c r="A31" s="6" t="s">
        <v>33</v>
      </c>
      <c r="B31" s="37">
        <f>IF( ISERROR(IND_ander_ele_kWh/1000),0,IND_ander_ele_kWh/1000)</f>
        <v>3851.5391464999998</v>
      </c>
      <c r="C31" s="39">
        <f>IF(ISERROR(B31*3.6/1000000/'E Balans VL '!Z19*100),0,B31*3.6/1000000/'E Balans VL '!Z19*100)</f>
        <v>0.16212002823184565</v>
      </c>
      <c r="D31" s="237" t="s">
        <v>660</v>
      </c>
    </row>
    <row r="32" spans="1:18">
      <c r="A32" s="171" t="s">
        <v>41</v>
      </c>
      <c r="B32" s="37">
        <f>IF( ISERROR(IND_voed_ele_kWh/1000),0,IND_voed_ele_kWh/1000)</f>
        <v>9196.0537494</v>
      </c>
      <c r="C32" s="39">
        <f>IF(ISERROR(B32*3.6/1000000/'E Balans VL '!Z20*100),0,B32*3.6/1000000/'E Balans VL '!Z20*100)</f>
        <v>1.5363048250294935</v>
      </c>
      <c r="D32" s="237" t="s">
        <v>660</v>
      </c>
    </row>
    <row r="33" spans="1:5">
      <c r="A33" s="171" t="s">
        <v>40</v>
      </c>
      <c r="B33" s="37">
        <f>IF( ISERROR(IND_textiel_ele_kWh/1000),0,IND_textiel_ele_kWh/1000)</f>
        <v>242.78681677</v>
      </c>
      <c r="C33" s="39">
        <f>IF(ISERROR(B33*3.6/1000000/'E Balans VL '!Z21*100),0,B33*3.6/1000000/'E Balans VL '!Z21*100)</f>
        <v>1.4174620906681076E-2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26211.669054999998</v>
      </c>
      <c r="C37" s="39">
        <f>IF(ISERROR(B37*3.6/1000000/'E Balans VL '!Z15*100),0,B37*3.6/1000000/'E Balans VL '!Z15*100)</f>
        <v>0.21161695390446833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1225.33166482</v>
      </c>
      <c r="C5" s="17">
        <f>'Eigen informatie GS &amp; warmtenet'!B60</f>
        <v>0</v>
      </c>
      <c r="D5" s="30">
        <f>IF(ISERROR(SUM(LB_lb_gas_kWh,LB_rest_gas_kWh,onbekend_gas_kWh)/1000),0,SUM(LB_lb_gas_kWh,LB_rest_gas_kWh,onbekend_gas_kWh)/1000)*0.902</f>
        <v>22970.681773636297</v>
      </c>
      <c r="E5" s="17">
        <f>B17*'E Balans VL '!I25/3.6*1000000/100</f>
        <v>31.596598906051067</v>
      </c>
      <c r="F5" s="17">
        <f>B17*('E Balans VL '!L25/3.6*1000000+'E Balans VL '!N25/3.6*1000000)/100</f>
        <v>4478.8205879970392</v>
      </c>
      <c r="G5" s="18"/>
      <c r="H5" s="17"/>
      <c r="I5" s="17"/>
      <c r="J5" s="17">
        <f>('E Balans VL '!D25+'E Balans VL '!E25)/3.6*1000000*landbouw!B17/100</f>
        <v>176.40268387832424</v>
      </c>
      <c r="K5" s="17"/>
      <c r="L5" s="17">
        <f>L6*(-1)</f>
        <v>0</v>
      </c>
      <c r="M5" s="17"/>
      <c r="N5" s="17">
        <f>N6*(-1)</f>
        <v>0</v>
      </c>
      <c r="O5" s="17"/>
      <c r="P5" s="17"/>
      <c r="R5" s="32"/>
    </row>
    <row r="6" spans="1:18">
      <c r="A6" s="16" t="s">
        <v>491</v>
      </c>
      <c r="B6" s="17" t="s">
        <v>211</v>
      </c>
      <c r="C6" s="17">
        <f>'lokale energieproductie'!O91+'lokale energieproductie'!O60</f>
        <v>12857.142857142857</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1225.33166482</v>
      </c>
      <c r="C8" s="21">
        <f>C5+C6</f>
        <v>12857.142857142857</v>
      </c>
      <c r="D8" s="21">
        <f>MAX((D5+D6),0)</f>
        <v>0</v>
      </c>
      <c r="E8" s="21">
        <f>MAX((E5+E6),0)</f>
        <v>31.596598906051067</v>
      </c>
      <c r="F8" s="21">
        <f>MAX((F5+F6),0)</f>
        <v>4478.8205879970392</v>
      </c>
      <c r="G8" s="21"/>
      <c r="H8" s="21"/>
      <c r="I8" s="21"/>
      <c r="J8" s="21">
        <f>MAX((J5+J6),0)</f>
        <v>176.40268387832424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0.2118703729812505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259.61147685115003</v>
      </c>
      <c r="C12" s="23">
        <f ca="1">C8*C10</f>
        <v>3055.4621848739503</v>
      </c>
      <c r="D12" s="23">
        <f>D8*D10</f>
        <v>0</v>
      </c>
      <c r="E12" s="23">
        <f>E8*E10</f>
        <v>7.1724279516735923</v>
      </c>
      <c r="F12" s="23">
        <f>F8*F10</f>
        <v>1195.8450969952096</v>
      </c>
      <c r="G12" s="23"/>
      <c r="H12" s="23"/>
      <c r="I12" s="23"/>
      <c r="J12" s="23">
        <f>J8*J10</f>
        <v>62.446550092926778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0.17277988115457443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237.49269682922665</v>
      </c>
      <c r="C26" s="247">
        <f>B26*'GWP N2O_CH4'!B5</f>
        <v>4987.3466334137593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130.65424907606794</v>
      </c>
      <c r="C27" s="247">
        <f>B27*'GWP N2O_CH4'!B5</f>
        <v>2743.7392305974267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3.5403165724670451</v>
      </c>
      <c r="C28" s="247">
        <f>B28*'GWP N2O_CH4'!B4</f>
        <v>1097.4981374647839</v>
      </c>
      <c r="D28" s="50"/>
    </row>
    <row r="29" spans="1:4">
      <c r="A29" s="41" t="s">
        <v>277</v>
      </c>
      <c r="B29" s="247">
        <f>B34*'ha_N2O bodem landbouw'!B4</f>
        <v>6.2993543676745869</v>
      </c>
      <c r="C29" s="247">
        <f>B29*'GWP N2O_CH4'!B4</f>
        <v>1952.799853979122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1.4176970496009122E-3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2.2825032507366017E-5</v>
      </c>
      <c r="C5" s="463" t="s">
        <v>211</v>
      </c>
      <c r="D5" s="448">
        <f>SUM(D6:D11)</f>
        <v>5.5317147138720552E-5</v>
      </c>
      <c r="E5" s="448">
        <f>SUM(E6:E11)</f>
        <v>2.1092020248278899E-4</v>
      </c>
      <c r="F5" s="461" t="s">
        <v>211</v>
      </c>
      <c r="G5" s="448">
        <f>SUM(G6:G11)</f>
        <v>0.11132838902939987</v>
      </c>
      <c r="H5" s="448">
        <f>SUM(H6:H11)</f>
        <v>1.4807781137279654E-2</v>
      </c>
      <c r="I5" s="463" t="s">
        <v>211</v>
      </c>
      <c r="J5" s="463" t="s">
        <v>211</v>
      </c>
      <c r="K5" s="463" t="s">
        <v>211</v>
      </c>
      <c r="L5" s="463" t="s">
        <v>211</v>
      </c>
      <c r="M5" s="448">
        <f>SUM(M6:M11)</f>
        <v>3.9508416484658393E-3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1.6318383799706953E-5</v>
      </c>
      <c r="C6" s="449"/>
      <c r="D6" s="962">
        <f>vkm_2011_GW_PW*SUMIFS(TableVerdeelsleutelVkm[CNG],TableVerdeelsleutelVkm[Voertuigtype],"Lichte voertuigen")*SUMIFS(TableECFTransport[EnergieConsumptieFactor (PJ per km)],TableECFTransport[Index],CONCATENATE($A6,"_CNG_CNG"))</f>
        <v>3.2424914451549897E-5</v>
      </c>
      <c r="E6" s="962">
        <f>vkm_2011_GW_PW*SUMIFS(TableVerdeelsleutelVkm[LPG],TableVerdeelsleutelVkm[Voertuigtype],"Lichte voertuigen")*SUMIFS(TableECFTransport[EnergieConsumptieFactor (PJ per km)],TableECFTransport[Index],CONCATENATE($A6,"_LPG_LPG"))</f>
        <v>1.276036618273332E-4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3.0339772445594285E-2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8.7783998240199782E-3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1.2189583701696018E-3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4.2419230371931044E-2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1.370322328426035E-5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1.3365650443704232E-3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6.5066487076590631E-6</v>
      </c>
      <c r="C8" s="449"/>
      <c r="D8" s="451">
        <f>vkm_2011_NGW_PW*SUMIFS(TableVerdeelsleutelVkm[CNG],TableVerdeelsleutelVkm[Voertuigtype],"Lichte voertuigen")*SUMIFS(TableECFTransport[EnergieConsumptieFactor (PJ per km)],TableECFTransport[Index],CONCATENATE($A8,"_CNG_CNG"))</f>
        <v>2.2892232687170656E-5</v>
      </c>
      <c r="E8" s="451">
        <f>vkm_2011_NGW_PW*SUMIFS(TableVerdeelsleutelVkm[LPG],TableVerdeelsleutelVkm[Voertuigtype],"Lichte voertuigen")*SUMIFS(TableECFTransport[EnergieConsumptieFactor (PJ per km)],TableECFTransport[Index],CONCATENATE($A8,"_LPG_LPG"))</f>
        <v>8.3316540655455789E-5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1.8498614138740075E-2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6.0095462989248807E-3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7.6292947109394356E-4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2.0070772073134478E-2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6.1317910505334874E-6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6.3238876283187027E-4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6.3402868076016716</v>
      </c>
      <c r="C14" s="21"/>
      <c r="D14" s="21">
        <f t="shared" ref="D14:M14" si="0">((D5)*10^9/3600)+D12</f>
        <v>15.365874205200154</v>
      </c>
      <c r="E14" s="21">
        <f t="shared" si="0"/>
        <v>58.588945134108052</v>
      </c>
      <c r="F14" s="21"/>
      <c r="G14" s="21">
        <f t="shared" si="0"/>
        <v>30924.552508166631</v>
      </c>
      <c r="H14" s="21">
        <f t="shared" si="0"/>
        <v>4113.2725381332375</v>
      </c>
      <c r="I14" s="21"/>
      <c r="J14" s="21"/>
      <c r="K14" s="21"/>
      <c r="L14" s="21"/>
      <c r="M14" s="21">
        <f t="shared" si="0"/>
        <v>1097.4560134627332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0.2118703729812505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1.3433189307346682</v>
      </c>
      <c r="C18" s="23"/>
      <c r="D18" s="23">
        <f t="shared" ref="D18:M18" si="1">D14*D16</f>
        <v>3.1039065894504314</v>
      </c>
      <c r="E18" s="23">
        <f t="shared" si="1"/>
        <v>13.299690545442528</v>
      </c>
      <c r="F18" s="23"/>
      <c r="G18" s="23">
        <f t="shared" si="1"/>
        <v>8256.8555196804919</v>
      </c>
      <c r="H18" s="23">
        <f t="shared" si="1"/>
        <v>1024.2048619951761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5.9299252537156415E-4</v>
      </c>
      <c r="H50" s="321">
        <f t="shared" si="2"/>
        <v>0</v>
      </c>
      <c r="I50" s="321">
        <f t="shared" si="2"/>
        <v>0</v>
      </c>
      <c r="J50" s="321">
        <f t="shared" si="2"/>
        <v>0</v>
      </c>
      <c r="K50" s="321">
        <f t="shared" si="2"/>
        <v>0</v>
      </c>
      <c r="L50" s="321">
        <f t="shared" si="2"/>
        <v>0</v>
      </c>
      <c r="M50" s="321">
        <f t="shared" si="2"/>
        <v>1.8393301504769764E-5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5.9299252537156415E-4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1.8393301504769764E-5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164.72014593654561</v>
      </c>
      <c r="H54" s="21">
        <f t="shared" si="3"/>
        <v>0</v>
      </c>
      <c r="I54" s="21">
        <f t="shared" si="3"/>
        <v>0</v>
      </c>
      <c r="J54" s="21">
        <f t="shared" si="3"/>
        <v>0</v>
      </c>
      <c r="K54" s="21">
        <f t="shared" si="3"/>
        <v>0</v>
      </c>
      <c r="L54" s="21">
        <f t="shared" si="3"/>
        <v>0</v>
      </c>
      <c r="M54" s="21">
        <f t="shared" si="3"/>
        <v>5.1092504179916007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0.2118703729812505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43.980278965057678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3265.5787048831344</v>
      </c>
      <c r="C6" s="1203"/>
      <c r="D6" s="1188"/>
      <c r="E6" s="1188"/>
      <c r="F6" s="1206"/>
      <c r="G6" s="1209"/>
      <c r="H6" s="1200"/>
      <c r="I6" s="1188"/>
      <c r="J6" s="1188"/>
      <c r="K6" s="1188"/>
      <c r="L6" s="1192"/>
      <c r="M6" s="575"/>
      <c r="N6" s="1166"/>
      <c r="O6" s="1167"/>
      <c r="Q6" s="573"/>
      <c r="R6" s="1154"/>
      <c r="S6" s="1154"/>
    </row>
    <row r="7" spans="1:19" s="563" customFormat="1">
      <c r="A7" s="576" t="s">
        <v>252</v>
      </c>
      <c r="B7" s="577">
        <f>N57</f>
        <v>9000</v>
      </c>
      <c r="C7" s="578">
        <f>B100</f>
        <v>10588.235294117649</v>
      </c>
      <c r="D7" s="579"/>
      <c r="E7" s="579">
        <f>E100</f>
        <v>0</v>
      </c>
      <c r="F7" s="580"/>
      <c r="G7" s="581"/>
      <c r="H7" s="579">
        <f>I100</f>
        <v>0</v>
      </c>
      <c r="I7" s="579">
        <f>G100+F100</f>
        <v>0</v>
      </c>
      <c r="J7" s="579">
        <f>H100+D100+C100</f>
        <v>0</v>
      </c>
      <c r="K7" s="579"/>
      <c r="L7" s="582"/>
      <c r="M7" s="583">
        <f>C7*$C$11+D7*$D$11+E7*$E$11+F7*$F$11+G7*$G$11+H7*$H$11+I7*$I$11+J7*$J$11</f>
        <v>2138.8235294117653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12265.578704883133</v>
      </c>
      <c r="C9" s="594">
        <f t="shared" ref="C9:L9" si="0">SUM(C7:C8)</f>
        <v>10588.235294117649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12857.142857142857</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3055.4621848739503</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12857.142857142857</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3055.4621848739503</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37010</v>
      </c>
      <c r="C27" s="851">
        <v>8780</v>
      </c>
      <c r="D27" s="672" t="s">
        <v>818</v>
      </c>
      <c r="E27" s="671" t="s">
        <v>819</v>
      </c>
      <c r="F27" s="671" t="s">
        <v>820</v>
      </c>
      <c r="G27" s="671" t="s">
        <v>821</v>
      </c>
      <c r="H27" s="671" t="s">
        <v>822</v>
      </c>
      <c r="I27" s="671" t="s">
        <v>819</v>
      </c>
      <c r="J27" s="850">
        <v>39853</v>
      </c>
      <c r="K27" s="850">
        <v>39875</v>
      </c>
      <c r="L27" s="671" t="s">
        <v>823</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2000</v>
      </c>
      <c r="N57" s="629">
        <f>SUM(N27:N56)</f>
        <v>9000</v>
      </c>
      <c r="O57" s="629">
        <f t="shared" ref="O57:W57" si="2">SUM(O27:O56)</f>
        <v>12857.142857142857</v>
      </c>
      <c r="P57" s="629">
        <f t="shared" si="2"/>
        <v>25714.285714285717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2000</v>
      </c>
      <c r="N60" s="634">
        <f t="shared" ref="N60:W60" si="4">SUMIF($Z$27:$Z$56,"landbouw",N27:N56)</f>
        <v>9000</v>
      </c>
      <c r="O60" s="634">
        <f t="shared" si="4"/>
        <v>12857.142857142857</v>
      </c>
      <c r="P60" s="634">
        <f t="shared" si="4"/>
        <v>25714.285714285717</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8032.6016178760001</v>
      </c>
      <c r="D10" s="718">
        <f ca="1">tertiair!C16</f>
        <v>0</v>
      </c>
      <c r="E10" s="718">
        <f ca="1">tertiair!D16</f>
        <v>7435.6501434388811</v>
      </c>
      <c r="F10" s="718">
        <f>tertiair!E16</f>
        <v>147.25533842600822</v>
      </c>
      <c r="G10" s="718">
        <f ca="1">tertiair!F16</f>
        <v>1833.1829623946678</v>
      </c>
      <c r="H10" s="718">
        <f>tertiair!G16</f>
        <v>0</v>
      </c>
      <c r="I10" s="718">
        <f>tertiair!H16</f>
        <v>0</v>
      </c>
      <c r="J10" s="718">
        <f>tertiair!I16</f>
        <v>0</v>
      </c>
      <c r="K10" s="718">
        <f>tertiair!J16</f>
        <v>0</v>
      </c>
      <c r="L10" s="718">
        <f>tertiair!K16</f>
        <v>0</v>
      </c>
      <c r="M10" s="718">
        <f ca="1">tertiair!L16</f>
        <v>0</v>
      </c>
      <c r="N10" s="718">
        <f>tertiair!M16</f>
        <v>0</v>
      </c>
      <c r="O10" s="718">
        <f ca="1">tertiair!N16</f>
        <v>826.44935100569251</v>
      </c>
      <c r="P10" s="718">
        <f>tertiair!O16</f>
        <v>0</v>
      </c>
      <c r="Q10" s="719">
        <f>tertiair!P16</f>
        <v>19.066666666666666</v>
      </c>
      <c r="R10" s="721">
        <f ca="1">SUM(C10:Q10)</f>
        <v>18294.206079807915</v>
      </c>
      <c r="S10" s="67"/>
    </row>
    <row r="11" spans="1:19" s="474" customFormat="1">
      <c r="A11" s="870" t="s">
        <v>225</v>
      </c>
      <c r="B11" s="875"/>
      <c r="C11" s="718">
        <f>huishoudens!B8</f>
        <v>13487.129529919383</v>
      </c>
      <c r="D11" s="718">
        <f>huishoudens!C8</f>
        <v>0</v>
      </c>
      <c r="E11" s="718">
        <f>huishoudens!D8</f>
        <v>21586.370905923999</v>
      </c>
      <c r="F11" s="718">
        <f>huishoudens!E8</f>
        <v>2632.9916786059439</v>
      </c>
      <c r="G11" s="718">
        <f>huishoudens!F8</f>
        <v>14052.725584006479</v>
      </c>
      <c r="H11" s="718">
        <f>huishoudens!G8</f>
        <v>0</v>
      </c>
      <c r="I11" s="718">
        <f>huishoudens!H8</f>
        <v>0</v>
      </c>
      <c r="J11" s="718">
        <f>huishoudens!I8</f>
        <v>0</v>
      </c>
      <c r="K11" s="718">
        <f>huishoudens!J8</f>
        <v>0</v>
      </c>
      <c r="L11" s="718">
        <f>huishoudens!K8</f>
        <v>0</v>
      </c>
      <c r="M11" s="718">
        <f>huishoudens!L8</f>
        <v>0</v>
      </c>
      <c r="N11" s="718">
        <f>huishoudens!M8</f>
        <v>0</v>
      </c>
      <c r="O11" s="718">
        <f>huishoudens!N8</f>
        <v>9870.7884532038715</v>
      </c>
      <c r="P11" s="718">
        <f>huishoudens!O8</f>
        <v>171.96666666666667</v>
      </c>
      <c r="Q11" s="719">
        <f>huishoudens!P8</f>
        <v>305.06666666666666</v>
      </c>
      <c r="R11" s="721">
        <f>SUM(C11:Q11)</f>
        <v>62107.039484993009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39887.44985623</v>
      </c>
      <c r="D13" s="718">
        <f>industrie!C18</f>
        <v>0</v>
      </c>
      <c r="E13" s="718">
        <f>industrie!D18</f>
        <v>141872.45584420129</v>
      </c>
      <c r="F13" s="718">
        <f>industrie!E18</f>
        <v>2653.7194027761579</v>
      </c>
      <c r="G13" s="718">
        <f>industrie!F18</f>
        <v>11290.910211801982</v>
      </c>
      <c r="H13" s="718">
        <f>industrie!G18</f>
        <v>0</v>
      </c>
      <c r="I13" s="718">
        <f>industrie!H18</f>
        <v>0</v>
      </c>
      <c r="J13" s="718">
        <f>industrie!I18</f>
        <v>0</v>
      </c>
      <c r="K13" s="718">
        <f>industrie!J18</f>
        <v>212.5010298148743</v>
      </c>
      <c r="L13" s="718">
        <f>industrie!K18</f>
        <v>0</v>
      </c>
      <c r="M13" s="718">
        <f>industrie!L18</f>
        <v>0</v>
      </c>
      <c r="N13" s="718">
        <f>industrie!M18</f>
        <v>0</v>
      </c>
      <c r="O13" s="718">
        <f>industrie!N18</f>
        <v>9951.2649350800402</v>
      </c>
      <c r="P13" s="718">
        <f>industrie!O18</f>
        <v>0</v>
      </c>
      <c r="Q13" s="719">
        <f>industrie!P18</f>
        <v>0</v>
      </c>
      <c r="R13" s="721">
        <f>SUM(C13:Q13)</f>
        <v>205868.30127990438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61407.181004025384</v>
      </c>
      <c r="D15" s="723">
        <f t="shared" ref="D15:Q15" ca="1" si="0">SUM(D9:D14)</f>
        <v>0</v>
      </c>
      <c r="E15" s="723">
        <f t="shared" ca="1" si="0"/>
        <v>170894.47689356416</v>
      </c>
      <c r="F15" s="723">
        <f t="shared" si="0"/>
        <v>5433.96641980811</v>
      </c>
      <c r="G15" s="723">
        <f t="shared" ca="1" si="0"/>
        <v>27176.818758203131</v>
      </c>
      <c r="H15" s="723">
        <f t="shared" si="0"/>
        <v>0</v>
      </c>
      <c r="I15" s="723">
        <f t="shared" si="0"/>
        <v>0</v>
      </c>
      <c r="J15" s="723">
        <f t="shared" si="0"/>
        <v>0</v>
      </c>
      <c r="K15" s="723">
        <f t="shared" si="0"/>
        <v>212.5010298148743</v>
      </c>
      <c r="L15" s="723">
        <f t="shared" si="0"/>
        <v>0</v>
      </c>
      <c r="M15" s="723">
        <f t="shared" ca="1" si="0"/>
        <v>0</v>
      </c>
      <c r="N15" s="723">
        <f t="shared" si="0"/>
        <v>0</v>
      </c>
      <c r="O15" s="723">
        <f t="shared" ca="1" si="0"/>
        <v>20648.502739289605</v>
      </c>
      <c r="P15" s="723">
        <f t="shared" si="0"/>
        <v>171.96666666666667</v>
      </c>
      <c r="Q15" s="724">
        <f t="shared" si="0"/>
        <v>324.13333333333333</v>
      </c>
      <c r="R15" s="725">
        <f ca="1">SUM(R9:R14)</f>
        <v>286269.5468447053</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164.72014593654561</v>
      </c>
      <c r="I18" s="718">
        <f>transport!H54</f>
        <v>0</v>
      </c>
      <c r="J18" s="718">
        <f>transport!I54</f>
        <v>0</v>
      </c>
      <c r="K18" s="718">
        <f>transport!J54</f>
        <v>0</v>
      </c>
      <c r="L18" s="718">
        <f>transport!K54</f>
        <v>0</v>
      </c>
      <c r="M18" s="718">
        <f>transport!L54</f>
        <v>0</v>
      </c>
      <c r="N18" s="718">
        <f>transport!M54</f>
        <v>5.1092504179916007</v>
      </c>
      <c r="O18" s="718">
        <f>transport!N54</f>
        <v>0</v>
      </c>
      <c r="P18" s="718">
        <f>transport!O54</f>
        <v>0</v>
      </c>
      <c r="Q18" s="719">
        <f>transport!P54</f>
        <v>0</v>
      </c>
      <c r="R18" s="721">
        <f>SUM(C18:Q18)</f>
        <v>169.82939635453721</v>
      </c>
      <c r="S18" s="67"/>
    </row>
    <row r="19" spans="1:19" s="474" customFormat="1" ht="15" thickBot="1">
      <c r="A19" s="870" t="s">
        <v>307</v>
      </c>
      <c r="B19" s="875"/>
      <c r="C19" s="727">
        <f>transport!B14</f>
        <v>6.3402868076016716</v>
      </c>
      <c r="D19" s="727">
        <f>transport!C14</f>
        <v>0</v>
      </c>
      <c r="E19" s="727">
        <f>transport!D14</f>
        <v>15.365874205200154</v>
      </c>
      <c r="F19" s="727">
        <f>transport!E14</f>
        <v>58.588945134108052</v>
      </c>
      <c r="G19" s="727">
        <f>transport!F14</f>
        <v>0</v>
      </c>
      <c r="H19" s="727">
        <f>transport!G14</f>
        <v>30924.552508166631</v>
      </c>
      <c r="I19" s="727">
        <f>transport!H14</f>
        <v>4113.2725381332375</v>
      </c>
      <c r="J19" s="727">
        <f>transport!I14</f>
        <v>0</v>
      </c>
      <c r="K19" s="727">
        <f>transport!J14</f>
        <v>0</v>
      </c>
      <c r="L19" s="727">
        <f>transport!K14</f>
        <v>0</v>
      </c>
      <c r="M19" s="727">
        <f>transport!L14</f>
        <v>0</v>
      </c>
      <c r="N19" s="727">
        <f>transport!M14</f>
        <v>1097.4560134627332</v>
      </c>
      <c r="O19" s="727">
        <f>transport!N14</f>
        <v>0</v>
      </c>
      <c r="P19" s="727">
        <f>transport!O14</f>
        <v>0</v>
      </c>
      <c r="Q19" s="728">
        <f>transport!P14</f>
        <v>0</v>
      </c>
      <c r="R19" s="729">
        <f>SUM(C19:Q19)</f>
        <v>36215.576165909508</v>
      </c>
      <c r="S19" s="67"/>
    </row>
    <row r="20" spans="1:19" s="474" customFormat="1" ht="15.75" thickBot="1">
      <c r="A20" s="730" t="s">
        <v>230</v>
      </c>
      <c r="B20" s="878"/>
      <c r="C20" s="873">
        <f>SUM(C17:C19)</f>
        <v>6.3402868076016716</v>
      </c>
      <c r="D20" s="731">
        <f t="shared" ref="D20:R20" si="1">SUM(D17:D19)</f>
        <v>0</v>
      </c>
      <c r="E20" s="731">
        <f t="shared" si="1"/>
        <v>15.365874205200154</v>
      </c>
      <c r="F20" s="731">
        <f t="shared" si="1"/>
        <v>58.588945134108052</v>
      </c>
      <c r="G20" s="731">
        <f t="shared" si="1"/>
        <v>0</v>
      </c>
      <c r="H20" s="731">
        <f t="shared" si="1"/>
        <v>31089.272654103177</v>
      </c>
      <c r="I20" s="731">
        <f t="shared" si="1"/>
        <v>4113.2725381332375</v>
      </c>
      <c r="J20" s="731">
        <f t="shared" si="1"/>
        <v>0</v>
      </c>
      <c r="K20" s="731">
        <f t="shared" si="1"/>
        <v>0</v>
      </c>
      <c r="L20" s="731">
        <f t="shared" si="1"/>
        <v>0</v>
      </c>
      <c r="M20" s="731">
        <f t="shared" si="1"/>
        <v>0</v>
      </c>
      <c r="N20" s="731">
        <f t="shared" si="1"/>
        <v>1102.5652638807248</v>
      </c>
      <c r="O20" s="731">
        <f t="shared" si="1"/>
        <v>0</v>
      </c>
      <c r="P20" s="731">
        <f t="shared" si="1"/>
        <v>0</v>
      </c>
      <c r="Q20" s="732">
        <f t="shared" si="1"/>
        <v>0</v>
      </c>
      <c r="R20" s="733">
        <f t="shared" si="1"/>
        <v>36385.405562264044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1225.33166482</v>
      </c>
      <c r="D22" s="727">
        <f>+landbouw!C8</f>
        <v>12857.142857142857</v>
      </c>
      <c r="E22" s="727">
        <f>+landbouw!D8</f>
        <v>0</v>
      </c>
      <c r="F22" s="727">
        <f>+landbouw!E8</f>
        <v>31.596598906051067</v>
      </c>
      <c r="G22" s="727">
        <f>+landbouw!F8</f>
        <v>4478.8205879970392</v>
      </c>
      <c r="H22" s="727">
        <f>+landbouw!G8</f>
        <v>0</v>
      </c>
      <c r="I22" s="727">
        <f>+landbouw!H8</f>
        <v>0</v>
      </c>
      <c r="J22" s="727">
        <f>+landbouw!I8</f>
        <v>0</v>
      </c>
      <c r="K22" s="727">
        <f>+landbouw!J8</f>
        <v>176.40268387832424</v>
      </c>
      <c r="L22" s="727">
        <f>+landbouw!K8</f>
        <v>0</v>
      </c>
      <c r="M22" s="727">
        <f>+landbouw!L8</f>
        <v>0</v>
      </c>
      <c r="N22" s="727">
        <f>+landbouw!M8</f>
        <v>0</v>
      </c>
      <c r="O22" s="727">
        <f>+landbouw!N8</f>
        <v>0</v>
      </c>
      <c r="P22" s="727">
        <f>+landbouw!O8</f>
        <v>0</v>
      </c>
      <c r="Q22" s="728">
        <f>+landbouw!P8</f>
        <v>0</v>
      </c>
      <c r="R22" s="729">
        <f>SUM(C22:Q22)</f>
        <v>18769.294392744272</v>
      </c>
      <c r="S22" s="67"/>
    </row>
    <row r="23" spans="1:19" s="474" customFormat="1" ht="17.25" thickTop="1" thickBot="1">
      <c r="A23" s="734" t="s">
        <v>116</v>
      </c>
      <c r="B23" s="864"/>
      <c r="C23" s="735">
        <f ca="1">C20+C15+C22</f>
        <v>62638.852955652983</v>
      </c>
      <c r="D23" s="735">
        <f t="shared" ref="D23:Q23" ca="1" si="2">D20+D15+D22</f>
        <v>12857.142857142857</v>
      </c>
      <c r="E23" s="735">
        <f t="shared" ca="1" si="2"/>
        <v>170909.84276776935</v>
      </c>
      <c r="F23" s="735">
        <f t="shared" si="2"/>
        <v>5524.1519638482696</v>
      </c>
      <c r="G23" s="735">
        <f t="shared" ca="1" si="2"/>
        <v>31655.639346200172</v>
      </c>
      <c r="H23" s="735">
        <f t="shared" si="2"/>
        <v>31089.272654103177</v>
      </c>
      <c r="I23" s="735">
        <f t="shared" si="2"/>
        <v>4113.2725381332375</v>
      </c>
      <c r="J23" s="735">
        <f t="shared" si="2"/>
        <v>0</v>
      </c>
      <c r="K23" s="735">
        <f t="shared" si="2"/>
        <v>388.90371369319854</v>
      </c>
      <c r="L23" s="735">
        <f t="shared" si="2"/>
        <v>0</v>
      </c>
      <c r="M23" s="735">
        <f t="shared" ca="1" si="2"/>
        <v>0</v>
      </c>
      <c r="N23" s="735">
        <f t="shared" si="2"/>
        <v>1102.5652638807248</v>
      </c>
      <c r="O23" s="735">
        <f t="shared" ca="1" si="2"/>
        <v>20648.502739289605</v>
      </c>
      <c r="P23" s="735">
        <f t="shared" si="2"/>
        <v>171.96666666666667</v>
      </c>
      <c r="Q23" s="736">
        <f t="shared" si="2"/>
        <v>324.13333333333333</v>
      </c>
      <c r="R23" s="737">
        <f ca="1">R20+R15+R22</f>
        <v>341424.24679971358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1701.8703007891843</v>
      </c>
      <c r="D36" s="718">
        <f ca="1">tertiair!C20</f>
        <v>0</v>
      </c>
      <c r="E36" s="718">
        <f ca="1">tertiair!D20</f>
        <v>1502.0013289746541</v>
      </c>
      <c r="F36" s="718">
        <f>tertiair!E20</f>
        <v>33.426961822703866</v>
      </c>
      <c r="G36" s="718">
        <f ca="1">tertiair!F20</f>
        <v>489.45985095937635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3726.758442545919</v>
      </c>
    </row>
    <row r="37" spans="1:18">
      <c r="A37" s="885" t="s">
        <v>225</v>
      </c>
      <c r="B37" s="892"/>
      <c r="C37" s="718">
        <f ca="1">huishoudens!B12</f>
        <v>2857.5231639504573</v>
      </c>
      <c r="D37" s="718">
        <f ca="1">huishoudens!C12</f>
        <v>0</v>
      </c>
      <c r="E37" s="718">
        <f>huishoudens!D12</f>
        <v>4360.446922996648</v>
      </c>
      <c r="F37" s="718">
        <f>huishoudens!E12</f>
        <v>597.68911104354925</v>
      </c>
      <c r="G37" s="718">
        <f>huishoudens!F12</f>
        <v>3752.07773092973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11567.736928920385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8450.9688783103775</v>
      </c>
      <c r="D39" s="718">
        <f ca="1">industrie!C22</f>
        <v>0</v>
      </c>
      <c r="E39" s="718">
        <f>industrie!D22</f>
        <v>28658.236080528663</v>
      </c>
      <c r="F39" s="718">
        <f>industrie!E22</f>
        <v>602.39430443018784</v>
      </c>
      <c r="G39" s="718">
        <f>industrie!F22</f>
        <v>3014.6730265511292</v>
      </c>
      <c r="H39" s="718">
        <f>industrie!G22</f>
        <v>0</v>
      </c>
      <c r="I39" s="718">
        <f>industrie!H22</f>
        <v>0</v>
      </c>
      <c r="J39" s="718">
        <f>industrie!I22</f>
        <v>0</v>
      </c>
      <c r="K39" s="718">
        <f>industrie!J22</f>
        <v>75.2253645544655</v>
      </c>
      <c r="L39" s="718">
        <f>industrie!K22</f>
        <v>0</v>
      </c>
      <c r="M39" s="718">
        <f>industrie!L22</f>
        <v>0</v>
      </c>
      <c r="N39" s="718">
        <f>industrie!M22</f>
        <v>0</v>
      </c>
      <c r="O39" s="718">
        <f>industrie!N22</f>
        <v>0</v>
      </c>
      <c r="P39" s="718">
        <f>industrie!O22</f>
        <v>0</v>
      </c>
      <c r="Q39" s="828">
        <f>industrie!P22</f>
        <v>0</v>
      </c>
      <c r="R39" s="918">
        <f ca="1">SUM(C39:Q39)</f>
        <v>40801.497654374813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13010.362343050019</v>
      </c>
      <c r="D41" s="763">
        <f t="shared" ref="D41:R41" ca="1" si="4">SUM(D35:D40)</f>
        <v>0</v>
      </c>
      <c r="E41" s="763">
        <f t="shared" ca="1" si="4"/>
        <v>34520.684332499965</v>
      </c>
      <c r="F41" s="763">
        <f t="shared" si="4"/>
        <v>1233.510377296441</v>
      </c>
      <c r="G41" s="763">
        <f t="shared" ca="1" si="4"/>
        <v>7256.2106084402349</v>
      </c>
      <c r="H41" s="763">
        <f t="shared" si="4"/>
        <v>0</v>
      </c>
      <c r="I41" s="763">
        <f t="shared" si="4"/>
        <v>0</v>
      </c>
      <c r="J41" s="763">
        <f t="shared" si="4"/>
        <v>0</v>
      </c>
      <c r="K41" s="763">
        <f t="shared" si="4"/>
        <v>75.2253645544655</v>
      </c>
      <c r="L41" s="763">
        <f t="shared" si="4"/>
        <v>0</v>
      </c>
      <c r="M41" s="763">
        <f t="shared" ca="1" si="4"/>
        <v>0</v>
      </c>
      <c r="N41" s="763">
        <f t="shared" si="4"/>
        <v>0</v>
      </c>
      <c r="O41" s="763">
        <f t="shared" ca="1" si="4"/>
        <v>0</v>
      </c>
      <c r="P41" s="763">
        <f t="shared" si="4"/>
        <v>0</v>
      </c>
      <c r="Q41" s="764">
        <f t="shared" si="4"/>
        <v>0</v>
      </c>
      <c r="R41" s="765">
        <f t="shared" ca="1" si="4"/>
        <v>56095.993025841119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43.980278965057678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43.980278965057678</v>
      </c>
    </row>
    <row r="45" spans="1:18" ht="15" thickBot="1">
      <c r="A45" s="888" t="s">
        <v>307</v>
      </c>
      <c r="B45" s="898"/>
      <c r="C45" s="727">
        <f ca="1">transport!B18</f>
        <v>1.3433189307346682</v>
      </c>
      <c r="D45" s="727">
        <f>transport!C18</f>
        <v>0</v>
      </c>
      <c r="E45" s="727">
        <f>transport!D18</f>
        <v>3.1039065894504314</v>
      </c>
      <c r="F45" s="727">
        <f>transport!E18</f>
        <v>13.299690545442528</v>
      </c>
      <c r="G45" s="727">
        <f>transport!F18</f>
        <v>0</v>
      </c>
      <c r="H45" s="727">
        <f>transport!G18</f>
        <v>8256.8555196804919</v>
      </c>
      <c r="I45" s="727">
        <f>transport!H18</f>
        <v>1024.2048619951761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9298.8072977412958</v>
      </c>
    </row>
    <row r="46" spans="1:18" ht="15.75" thickBot="1">
      <c r="A46" s="886" t="s">
        <v>230</v>
      </c>
      <c r="B46" s="899"/>
      <c r="C46" s="763">
        <f t="shared" ref="C46:R46" ca="1" si="5">SUM(C43:C45)</f>
        <v>1.3433189307346682</v>
      </c>
      <c r="D46" s="763">
        <f t="shared" ca="1" si="5"/>
        <v>0</v>
      </c>
      <c r="E46" s="763">
        <f t="shared" si="5"/>
        <v>3.1039065894504314</v>
      </c>
      <c r="F46" s="763">
        <f t="shared" si="5"/>
        <v>13.299690545442528</v>
      </c>
      <c r="G46" s="763">
        <f t="shared" si="5"/>
        <v>0</v>
      </c>
      <c r="H46" s="763">
        <f t="shared" si="5"/>
        <v>8300.8357986455503</v>
      </c>
      <c r="I46" s="763">
        <f t="shared" si="5"/>
        <v>1024.2048619951761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9342.7875767063542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259.61147685115003</v>
      </c>
      <c r="D48" s="718">
        <f ca="1">+landbouw!C12</f>
        <v>3055.4621848739503</v>
      </c>
      <c r="E48" s="718">
        <f>+landbouw!D12</f>
        <v>0</v>
      </c>
      <c r="F48" s="718">
        <f>+landbouw!E12</f>
        <v>7.1724279516735923</v>
      </c>
      <c r="G48" s="718">
        <f>+landbouw!F12</f>
        <v>1195.8450969952096</v>
      </c>
      <c r="H48" s="718">
        <f>+landbouw!G12</f>
        <v>0</v>
      </c>
      <c r="I48" s="718">
        <f>+landbouw!H12</f>
        <v>0</v>
      </c>
      <c r="J48" s="718">
        <f>+landbouw!I12</f>
        <v>0</v>
      </c>
      <c r="K48" s="718">
        <f>+landbouw!J12</f>
        <v>62.446550092926778</v>
      </c>
      <c r="L48" s="718">
        <f>+landbouw!K12</f>
        <v>0</v>
      </c>
      <c r="M48" s="718">
        <f>+landbouw!L12</f>
        <v>0</v>
      </c>
      <c r="N48" s="718">
        <f>+landbouw!M12</f>
        <v>0</v>
      </c>
      <c r="O48" s="718">
        <f>+landbouw!N12</f>
        <v>0</v>
      </c>
      <c r="P48" s="718">
        <f>+landbouw!O12</f>
        <v>0</v>
      </c>
      <c r="Q48" s="719">
        <f>+landbouw!P12</f>
        <v>0</v>
      </c>
      <c r="R48" s="761">
        <f ca="1">SUM(C48:Q48)</f>
        <v>4580.5377367649098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13271.317138831904</v>
      </c>
      <c r="D53" s="773">
        <f t="shared" ref="D53:Q53" ca="1" si="6">D41+D46+D48</f>
        <v>3055.4621848739503</v>
      </c>
      <c r="E53" s="773">
        <f t="shared" ca="1" si="6"/>
        <v>34523.788239089416</v>
      </c>
      <c r="F53" s="773">
        <f t="shared" si="6"/>
        <v>1253.9824957935571</v>
      </c>
      <c r="G53" s="773">
        <f t="shared" ca="1" si="6"/>
        <v>8452.0557054354449</v>
      </c>
      <c r="H53" s="773">
        <f t="shared" si="6"/>
        <v>8300.8357986455503</v>
      </c>
      <c r="I53" s="773">
        <f t="shared" si="6"/>
        <v>1024.2048619951761</v>
      </c>
      <c r="J53" s="773">
        <f t="shared" si="6"/>
        <v>0</v>
      </c>
      <c r="K53" s="773">
        <f t="shared" si="6"/>
        <v>137.67191464739227</v>
      </c>
      <c r="L53" s="773">
        <f t="shared" si="6"/>
        <v>0</v>
      </c>
      <c r="M53" s="773">
        <f t="shared" ca="1" si="6"/>
        <v>0</v>
      </c>
      <c r="N53" s="773">
        <f t="shared" si="6"/>
        <v>0</v>
      </c>
      <c r="O53" s="773">
        <f t="shared" ca="1" si="6"/>
        <v>0</v>
      </c>
      <c r="P53" s="773">
        <f>P41+P46+P48</f>
        <v>0</v>
      </c>
      <c r="Q53" s="774">
        <f t="shared" si="6"/>
        <v>0</v>
      </c>
      <c r="R53" s="775">
        <f ca="1">R41+R46+R48</f>
        <v>70019.318339312376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0.21187037298125053</v>
      </c>
      <c r="D55" s="836">
        <f t="shared" ca="1" si="7"/>
        <v>0.23764705882352946</v>
      </c>
      <c r="E55" s="836">
        <f t="shared" ca="1" si="7"/>
        <v>0.20200000000000004</v>
      </c>
      <c r="F55" s="836">
        <f t="shared" si="7"/>
        <v>0.22699999999999998</v>
      </c>
      <c r="G55" s="836">
        <f t="shared" ca="1" si="7"/>
        <v>0.26699999999999996</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3265.5787048831344</v>
      </c>
      <c r="C66" s="795">
        <f>'lokale energieproductie'!B6</f>
        <v>3265.5787048831344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9000</v>
      </c>
      <c r="C67" s="794">
        <f>B67*IFERROR(SUM(J67:L67)/SUM(D67:M67),0)</f>
        <v>0</v>
      </c>
      <c r="D67" s="826">
        <f>'lokale energieproductie'!C7</f>
        <v>10588.235294117649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12265.578704883133</v>
      </c>
      <c r="C69" s="803">
        <f>SUM(C64:C68)</f>
        <v>3265.5787048831344</v>
      </c>
      <c r="D69" s="804">
        <f t="shared" ref="D69:M69" si="8">SUM(D67:D68)</f>
        <v>10588.235294117649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12857.142857142857</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12857.142857142857</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13487.129529919383</v>
      </c>
      <c r="C4" s="478">
        <f>huishoudens!C8</f>
        <v>0</v>
      </c>
      <c r="D4" s="478">
        <f>huishoudens!D8</f>
        <v>21586.370905923999</v>
      </c>
      <c r="E4" s="478">
        <f>huishoudens!E8</f>
        <v>2632.9916786059439</v>
      </c>
      <c r="F4" s="478">
        <f>huishoudens!F8</f>
        <v>14052.725584006479</v>
      </c>
      <c r="G4" s="478">
        <f>huishoudens!G8</f>
        <v>0</v>
      </c>
      <c r="H4" s="478">
        <f>huishoudens!H8</f>
        <v>0</v>
      </c>
      <c r="I4" s="478">
        <f>huishoudens!I8</f>
        <v>0</v>
      </c>
      <c r="J4" s="478">
        <f>huishoudens!J8</f>
        <v>0</v>
      </c>
      <c r="K4" s="478">
        <f>huishoudens!K8</f>
        <v>0</v>
      </c>
      <c r="L4" s="478">
        <f>huishoudens!L8</f>
        <v>0</v>
      </c>
      <c r="M4" s="478">
        <f>huishoudens!M8</f>
        <v>0</v>
      </c>
      <c r="N4" s="478">
        <f>huishoudens!N8</f>
        <v>9870.7884532038715</v>
      </c>
      <c r="O4" s="478">
        <f>huishoudens!O8</f>
        <v>171.96666666666667</v>
      </c>
      <c r="P4" s="479">
        <f>huishoudens!P8</f>
        <v>305.06666666666666</v>
      </c>
      <c r="Q4" s="480">
        <f>SUM(B4:P4)</f>
        <v>62107.039484993009</v>
      </c>
    </row>
    <row r="5" spans="1:17">
      <c r="A5" s="477" t="s">
        <v>156</v>
      </c>
      <c r="B5" s="478">
        <f ca="1">tertiair!B16</f>
        <v>7346.413617876</v>
      </c>
      <c r="C5" s="478">
        <f ca="1">tertiair!C16</f>
        <v>0</v>
      </c>
      <c r="D5" s="478">
        <f ca="1">tertiair!D16</f>
        <v>7435.6501434388811</v>
      </c>
      <c r="E5" s="478">
        <f>tertiair!E16</f>
        <v>147.25533842600822</v>
      </c>
      <c r="F5" s="478">
        <f ca="1">tertiair!F16</f>
        <v>1833.1829623946678</v>
      </c>
      <c r="G5" s="478">
        <f>tertiair!G16</f>
        <v>0</v>
      </c>
      <c r="H5" s="478">
        <f>tertiair!H16</f>
        <v>0</v>
      </c>
      <c r="I5" s="478">
        <f>tertiair!I16</f>
        <v>0</v>
      </c>
      <c r="J5" s="478">
        <f>tertiair!J16</f>
        <v>0</v>
      </c>
      <c r="K5" s="478">
        <f>tertiair!K16</f>
        <v>0</v>
      </c>
      <c r="L5" s="478">
        <f ca="1">tertiair!L16</f>
        <v>0</v>
      </c>
      <c r="M5" s="478">
        <f>tertiair!M16</f>
        <v>0</v>
      </c>
      <c r="N5" s="478">
        <f ca="1">tertiair!N16</f>
        <v>826.44935100569251</v>
      </c>
      <c r="O5" s="478">
        <f>tertiair!O16</f>
        <v>0</v>
      </c>
      <c r="P5" s="479">
        <f>tertiair!P16</f>
        <v>19.066666666666666</v>
      </c>
      <c r="Q5" s="477">
        <f t="shared" ref="Q5:Q13" ca="1" si="0">SUM(B5:P5)</f>
        <v>17608.018079807916</v>
      </c>
    </row>
    <row r="6" spans="1:17">
      <c r="A6" s="477" t="s">
        <v>194</v>
      </c>
      <c r="B6" s="478">
        <f>'openbare verlichting'!B8</f>
        <v>686.18799999999999</v>
      </c>
      <c r="C6" s="478"/>
      <c r="D6" s="478"/>
      <c r="E6" s="478"/>
      <c r="F6" s="478"/>
      <c r="G6" s="478"/>
      <c r="H6" s="478"/>
      <c r="I6" s="478"/>
      <c r="J6" s="478"/>
      <c r="K6" s="478"/>
      <c r="L6" s="478"/>
      <c r="M6" s="478"/>
      <c r="N6" s="478"/>
      <c r="O6" s="478"/>
      <c r="P6" s="479"/>
      <c r="Q6" s="477">
        <f t="shared" si="0"/>
        <v>686.18799999999999</v>
      </c>
    </row>
    <row r="7" spans="1:17">
      <c r="A7" s="477" t="s">
        <v>112</v>
      </c>
      <c r="B7" s="478">
        <f>landbouw!B8</f>
        <v>1225.33166482</v>
      </c>
      <c r="C7" s="478">
        <f>landbouw!C8</f>
        <v>12857.142857142857</v>
      </c>
      <c r="D7" s="478">
        <f>landbouw!D8</f>
        <v>0</v>
      </c>
      <c r="E7" s="478">
        <f>landbouw!E8</f>
        <v>31.596598906051067</v>
      </c>
      <c r="F7" s="478">
        <f>landbouw!F8</f>
        <v>4478.8205879970392</v>
      </c>
      <c r="G7" s="478">
        <f>landbouw!G8</f>
        <v>0</v>
      </c>
      <c r="H7" s="478">
        <f>landbouw!H8</f>
        <v>0</v>
      </c>
      <c r="I7" s="478">
        <f>landbouw!I8</f>
        <v>0</v>
      </c>
      <c r="J7" s="478">
        <f>landbouw!J8</f>
        <v>176.40268387832424</v>
      </c>
      <c r="K7" s="478">
        <f>landbouw!K8</f>
        <v>0</v>
      </c>
      <c r="L7" s="478">
        <f>landbouw!L8</f>
        <v>0</v>
      </c>
      <c r="M7" s="478">
        <f>landbouw!M8</f>
        <v>0</v>
      </c>
      <c r="N7" s="478">
        <f>landbouw!N8</f>
        <v>0</v>
      </c>
      <c r="O7" s="478">
        <f>landbouw!O8</f>
        <v>0</v>
      </c>
      <c r="P7" s="479">
        <f>landbouw!P8</f>
        <v>0</v>
      </c>
      <c r="Q7" s="477">
        <f t="shared" si="0"/>
        <v>18769.294392744272</v>
      </c>
    </row>
    <row r="8" spans="1:17">
      <c r="A8" s="477" t="s">
        <v>638</v>
      </c>
      <c r="B8" s="478">
        <f>industrie!B18</f>
        <v>39887.44985623</v>
      </c>
      <c r="C8" s="478">
        <f>industrie!C18</f>
        <v>0</v>
      </c>
      <c r="D8" s="478">
        <f>industrie!D18</f>
        <v>141872.45584420129</v>
      </c>
      <c r="E8" s="478">
        <f>industrie!E18</f>
        <v>2653.7194027761579</v>
      </c>
      <c r="F8" s="478">
        <f>industrie!F18</f>
        <v>11290.910211801982</v>
      </c>
      <c r="G8" s="478">
        <f>industrie!G18</f>
        <v>0</v>
      </c>
      <c r="H8" s="478">
        <f>industrie!H18</f>
        <v>0</v>
      </c>
      <c r="I8" s="478">
        <f>industrie!I18</f>
        <v>0</v>
      </c>
      <c r="J8" s="478">
        <f>industrie!J18</f>
        <v>212.5010298148743</v>
      </c>
      <c r="K8" s="478">
        <f>industrie!K18</f>
        <v>0</v>
      </c>
      <c r="L8" s="478">
        <f>industrie!L18</f>
        <v>0</v>
      </c>
      <c r="M8" s="478">
        <f>industrie!M18</f>
        <v>0</v>
      </c>
      <c r="N8" s="478">
        <f>industrie!N18</f>
        <v>9951.2649350800402</v>
      </c>
      <c r="O8" s="478">
        <f>industrie!O18</f>
        <v>0</v>
      </c>
      <c r="P8" s="479">
        <f>industrie!P18</f>
        <v>0</v>
      </c>
      <c r="Q8" s="477">
        <f t="shared" si="0"/>
        <v>205868.30127990438</v>
      </c>
    </row>
    <row r="9" spans="1:17" s="483" customFormat="1">
      <c r="A9" s="481" t="s">
        <v>564</v>
      </c>
      <c r="B9" s="482">
        <f>transport!B14</f>
        <v>6.3402868076016716</v>
      </c>
      <c r="C9" s="482">
        <f>transport!C14</f>
        <v>0</v>
      </c>
      <c r="D9" s="482">
        <f>transport!D14</f>
        <v>15.365874205200154</v>
      </c>
      <c r="E9" s="482">
        <f>transport!E14</f>
        <v>58.588945134108052</v>
      </c>
      <c r="F9" s="482">
        <f>transport!F14</f>
        <v>0</v>
      </c>
      <c r="G9" s="482">
        <f>transport!G14</f>
        <v>30924.552508166631</v>
      </c>
      <c r="H9" s="482">
        <f>transport!H14</f>
        <v>4113.2725381332375</v>
      </c>
      <c r="I9" s="482">
        <f>transport!I14</f>
        <v>0</v>
      </c>
      <c r="J9" s="482">
        <f>transport!J14</f>
        <v>0</v>
      </c>
      <c r="K9" s="482">
        <f>transport!K14</f>
        <v>0</v>
      </c>
      <c r="L9" s="482">
        <f>transport!L14</f>
        <v>0</v>
      </c>
      <c r="M9" s="482">
        <f>transport!M14</f>
        <v>1097.4560134627332</v>
      </c>
      <c r="N9" s="482">
        <f>transport!N14</f>
        <v>0</v>
      </c>
      <c r="O9" s="482">
        <f>transport!O14</f>
        <v>0</v>
      </c>
      <c r="P9" s="482">
        <f>transport!P14</f>
        <v>0</v>
      </c>
      <c r="Q9" s="481">
        <f>SUM(B9:P9)</f>
        <v>36215.576165909508</v>
      </c>
    </row>
    <row r="10" spans="1:17">
      <c r="A10" s="477" t="s">
        <v>554</v>
      </c>
      <c r="B10" s="478">
        <f>transport!B54</f>
        <v>0</v>
      </c>
      <c r="C10" s="478">
        <f>transport!C54</f>
        <v>0</v>
      </c>
      <c r="D10" s="478">
        <f>transport!D54</f>
        <v>0</v>
      </c>
      <c r="E10" s="478">
        <f>transport!E54</f>
        <v>0</v>
      </c>
      <c r="F10" s="478">
        <f>transport!F54</f>
        <v>0</v>
      </c>
      <c r="G10" s="478">
        <f>transport!G54</f>
        <v>164.72014593654561</v>
      </c>
      <c r="H10" s="478">
        <f>transport!H54</f>
        <v>0</v>
      </c>
      <c r="I10" s="478">
        <f>transport!I54</f>
        <v>0</v>
      </c>
      <c r="J10" s="478">
        <f>transport!J54</f>
        <v>0</v>
      </c>
      <c r="K10" s="478">
        <f>transport!K54</f>
        <v>0</v>
      </c>
      <c r="L10" s="478">
        <f>transport!L54</f>
        <v>0</v>
      </c>
      <c r="M10" s="478">
        <f>transport!M54</f>
        <v>5.1092504179916007</v>
      </c>
      <c r="N10" s="478">
        <f>transport!N54</f>
        <v>0</v>
      </c>
      <c r="O10" s="478">
        <f>transport!O54</f>
        <v>0</v>
      </c>
      <c r="P10" s="479">
        <f>transport!P54</f>
        <v>0</v>
      </c>
      <c r="Q10" s="477">
        <f t="shared" si="0"/>
        <v>169.82939635453721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62638.852955652983</v>
      </c>
      <c r="C14" s="488">
        <f t="shared" ref="C14:Q14" ca="1" si="1">SUM(C4:C13)</f>
        <v>12857.142857142857</v>
      </c>
      <c r="D14" s="488">
        <f t="shared" ca="1" si="1"/>
        <v>170909.84276776935</v>
      </c>
      <c r="E14" s="488">
        <f t="shared" si="1"/>
        <v>5524.1519638482696</v>
      </c>
      <c r="F14" s="488">
        <f t="shared" ca="1" si="1"/>
        <v>31655.639346200165</v>
      </c>
      <c r="G14" s="488">
        <f t="shared" si="1"/>
        <v>31089.272654103177</v>
      </c>
      <c r="H14" s="488">
        <f t="shared" si="1"/>
        <v>4113.2725381332375</v>
      </c>
      <c r="I14" s="488">
        <f t="shared" si="1"/>
        <v>0</v>
      </c>
      <c r="J14" s="488">
        <f t="shared" si="1"/>
        <v>388.90371369319854</v>
      </c>
      <c r="K14" s="488">
        <f t="shared" si="1"/>
        <v>0</v>
      </c>
      <c r="L14" s="488">
        <f t="shared" ca="1" si="1"/>
        <v>0</v>
      </c>
      <c r="M14" s="488">
        <f t="shared" si="1"/>
        <v>1102.5652638807248</v>
      </c>
      <c r="N14" s="488">
        <f t="shared" ca="1" si="1"/>
        <v>20648.502739289605</v>
      </c>
      <c r="O14" s="488">
        <f t="shared" si="1"/>
        <v>171.96666666666667</v>
      </c>
      <c r="P14" s="489">
        <f t="shared" si="1"/>
        <v>324.13333333333333</v>
      </c>
      <c r="Q14" s="489">
        <f t="shared" ca="1" si="1"/>
        <v>341424.24679971364</v>
      </c>
    </row>
    <row r="16" spans="1:17">
      <c r="A16" s="491" t="s">
        <v>559</v>
      </c>
      <c r="B16" s="841">
        <f ca="1">huishoudens!B10</f>
        <v>0.2118703729812505</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2857.5231639504573</v>
      </c>
      <c r="C21" s="478">
        <f t="shared" ref="C21:C30" ca="1" si="3">C4*$C$16</f>
        <v>0</v>
      </c>
      <c r="D21" s="478">
        <f t="shared" ref="D21:D30" si="4">D4*$D$16</f>
        <v>4360.446922996648</v>
      </c>
      <c r="E21" s="478">
        <f t="shared" ref="E21:E30" si="5">E4*$E$16</f>
        <v>597.68911104354925</v>
      </c>
      <c r="F21" s="478">
        <f t="shared" ref="F21:F30" si="6">F4*$F$16</f>
        <v>3752.07773092973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11567.736928920385</v>
      </c>
    </row>
    <row r="22" spans="1:17">
      <c r="A22" s="477" t="s">
        <v>156</v>
      </c>
      <c r="B22" s="478">
        <f t="shared" ca="1" si="2"/>
        <v>1556.4873932939261</v>
      </c>
      <c r="C22" s="478">
        <f t="shared" ca="1" si="3"/>
        <v>0</v>
      </c>
      <c r="D22" s="478">
        <f t="shared" ca="1" si="4"/>
        <v>1502.0013289746541</v>
      </c>
      <c r="E22" s="478">
        <f t="shared" si="5"/>
        <v>33.426961822703866</v>
      </c>
      <c r="F22" s="478">
        <f t="shared" ca="1" si="6"/>
        <v>489.45985095937635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3581.3755350506608</v>
      </c>
    </row>
    <row r="23" spans="1:17">
      <c r="A23" s="477" t="s">
        <v>194</v>
      </c>
      <c r="B23" s="478">
        <f t="shared" ca="1" si="2"/>
        <v>145.38290749525831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145.38290749525831</v>
      </c>
    </row>
    <row r="24" spans="1:17">
      <c r="A24" s="477" t="s">
        <v>112</v>
      </c>
      <c r="B24" s="478">
        <f t="shared" ca="1" si="2"/>
        <v>259.61147685115003</v>
      </c>
      <c r="C24" s="478">
        <f t="shared" ca="1" si="3"/>
        <v>3055.4621848739503</v>
      </c>
      <c r="D24" s="478">
        <f t="shared" si="4"/>
        <v>0</v>
      </c>
      <c r="E24" s="478">
        <f t="shared" si="5"/>
        <v>7.1724279516735923</v>
      </c>
      <c r="F24" s="478">
        <f t="shared" si="6"/>
        <v>1195.8450969952096</v>
      </c>
      <c r="G24" s="478">
        <f t="shared" si="7"/>
        <v>0</v>
      </c>
      <c r="H24" s="478">
        <f t="shared" si="8"/>
        <v>0</v>
      </c>
      <c r="I24" s="478">
        <f t="shared" si="9"/>
        <v>0</v>
      </c>
      <c r="J24" s="478">
        <f t="shared" si="10"/>
        <v>62.446550092926778</v>
      </c>
      <c r="K24" s="478">
        <f t="shared" si="11"/>
        <v>0</v>
      </c>
      <c r="L24" s="478">
        <f t="shared" si="12"/>
        <v>0</v>
      </c>
      <c r="M24" s="478">
        <f t="shared" si="13"/>
        <v>0</v>
      </c>
      <c r="N24" s="478">
        <f t="shared" si="14"/>
        <v>0</v>
      </c>
      <c r="O24" s="478">
        <f t="shared" si="15"/>
        <v>0</v>
      </c>
      <c r="P24" s="479">
        <f t="shared" si="16"/>
        <v>0</v>
      </c>
      <c r="Q24" s="477">
        <f t="shared" ca="1" si="17"/>
        <v>4580.5377367649098</v>
      </c>
    </row>
    <row r="25" spans="1:17">
      <c r="A25" s="477" t="s">
        <v>638</v>
      </c>
      <c r="B25" s="478">
        <f t="shared" ca="1" si="2"/>
        <v>8450.9688783103775</v>
      </c>
      <c r="C25" s="478">
        <f t="shared" ca="1" si="3"/>
        <v>0</v>
      </c>
      <c r="D25" s="478">
        <f t="shared" si="4"/>
        <v>28658.236080528663</v>
      </c>
      <c r="E25" s="478">
        <f t="shared" si="5"/>
        <v>602.39430443018784</v>
      </c>
      <c r="F25" s="478">
        <f t="shared" si="6"/>
        <v>3014.6730265511292</v>
      </c>
      <c r="G25" s="478">
        <f t="shared" si="7"/>
        <v>0</v>
      </c>
      <c r="H25" s="478">
        <f t="shared" si="8"/>
        <v>0</v>
      </c>
      <c r="I25" s="478">
        <f t="shared" si="9"/>
        <v>0</v>
      </c>
      <c r="J25" s="478">
        <f t="shared" si="10"/>
        <v>75.2253645544655</v>
      </c>
      <c r="K25" s="478">
        <f t="shared" si="11"/>
        <v>0</v>
      </c>
      <c r="L25" s="478">
        <f t="shared" si="12"/>
        <v>0</v>
      </c>
      <c r="M25" s="478">
        <f t="shared" si="13"/>
        <v>0</v>
      </c>
      <c r="N25" s="478">
        <f t="shared" si="14"/>
        <v>0</v>
      </c>
      <c r="O25" s="478">
        <f t="shared" si="15"/>
        <v>0</v>
      </c>
      <c r="P25" s="479">
        <f t="shared" si="16"/>
        <v>0</v>
      </c>
      <c r="Q25" s="477">
        <f t="shared" ca="1" si="17"/>
        <v>40801.497654374813</v>
      </c>
    </row>
    <row r="26" spans="1:17" s="483" customFormat="1">
      <c r="A26" s="481" t="s">
        <v>564</v>
      </c>
      <c r="B26" s="835">
        <f t="shared" ca="1" si="2"/>
        <v>1.3433189307346682</v>
      </c>
      <c r="C26" s="482">
        <f t="shared" ca="1" si="3"/>
        <v>0</v>
      </c>
      <c r="D26" s="482">
        <f t="shared" si="4"/>
        <v>3.1039065894504314</v>
      </c>
      <c r="E26" s="482">
        <f t="shared" si="5"/>
        <v>13.299690545442528</v>
      </c>
      <c r="F26" s="482">
        <f t="shared" si="6"/>
        <v>0</v>
      </c>
      <c r="G26" s="482">
        <f t="shared" si="7"/>
        <v>8256.8555196804919</v>
      </c>
      <c r="H26" s="482">
        <f t="shared" si="8"/>
        <v>1024.2048619951761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9298.8072977412958</v>
      </c>
    </row>
    <row r="27" spans="1:17">
      <c r="A27" s="477" t="s">
        <v>554</v>
      </c>
      <c r="B27" s="478">
        <f t="shared" ca="1" si="2"/>
        <v>0</v>
      </c>
      <c r="C27" s="478">
        <f t="shared" ca="1" si="3"/>
        <v>0</v>
      </c>
      <c r="D27" s="478">
        <f t="shared" si="4"/>
        <v>0</v>
      </c>
      <c r="E27" s="478">
        <f t="shared" si="5"/>
        <v>0</v>
      </c>
      <c r="F27" s="478">
        <f t="shared" si="6"/>
        <v>0</v>
      </c>
      <c r="G27" s="478">
        <f t="shared" si="7"/>
        <v>43.980278965057678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43.980278965057678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13271.317138831904</v>
      </c>
      <c r="C31" s="488">
        <f t="shared" ca="1" si="18"/>
        <v>3055.4621848739503</v>
      </c>
      <c r="D31" s="488">
        <f t="shared" ca="1" si="18"/>
        <v>34523.788239089416</v>
      </c>
      <c r="E31" s="488">
        <f t="shared" si="18"/>
        <v>1253.9824957935571</v>
      </c>
      <c r="F31" s="488">
        <f t="shared" ca="1" si="18"/>
        <v>8452.0557054354449</v>
      </c>
      <c r="G31" s="488">
        <f t="shared" si="18"/>
        <v>8300.8357986455503</v>
      </c>
      <c r="H31" s="488">
        <f t="shared" si="18"/>
        <v>1024.2048619951761</v>
      </c>
      <c r="I31" s="488">
        <f t="shared" si="18"/>
        <v>0</v>
      </c>
      <c r="J31" s="488">
        <f t="shared" si="18"/>
        <v>137.67191464739227</v>
      </c>
      <c r="K31" s="488">
        <f t="shared" si="18"/>
        <v>0</v>
      </c>
      <c r="L31" s="488">
        <f t="shared" ca="1" si="18"/>
        <v>0</v>
      </c>
      <c r="M31" s="488">
        <f t="shared" si="18"/>
        <v>0</v>
      </c>
      <c r="N31" s="488">
        <f t="shared" ca="1" si="18"/>
        <v>0</v>
      </c>
      <c r="O31" s="488">
        <f t="shared" si="18"/>
        <v>0</v>
      </c>
      <c r="P31" s="489">
        <f t="shared" si="18"/>
        <v>0</v>
      </c>
      <c r="Q31" s="489">
        <f t="shared" ca="1" si="18"/>
        <v>70019.318339312376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0.2118703729812505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0.2118703729812505</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0.2118703729812505</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2018-06-27T09:43:10Z</dcterms:modified>
</cp:coreProperties>
</file>