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L6" i="17"/>
  <c r="L5" s="1"/>
  <c r="D6"/>
  <c r="D8" s="1"/>
  <c r="D12" s="1"/>
  <c r="E48" i="14" s="1"/>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J5" i="48"/>
  <c r="J22" s="1"/>
  <c r="J20" i="15"/>
  <c r="K36" i="14" s="1"/>
  <c r="M16" i="18"/>
  <c r="M19"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R10" i="14"/>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<sst xmlns="http://schemas.openxmlformats.org/spreadsheetml/2006/main" count="1933" uniqueCount="825">
  <si>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</si>
  <si>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</si>
  <si>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</si>
  <si>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</si>
  <si>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</si>
  <si>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</si>
  <si>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</si>
  <si>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</si>
  <si>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</si>
  <si>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</si>
  <si>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</si>
  <si>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</si>
  <si>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</si>
  <si>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</si>
  <si>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</si>
  <si>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</si>
  <si>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</si>
  <si>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</si>
  <si>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</si>
  <si>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</si>
  <si>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</si>
  <si>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</si>
  <si>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</si>
  <si>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</si>
  <si>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</si>
  <si>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</si>
  <si>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</si>
  <si>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</si>
  <si>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</si>
  <si>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</si>
  <si>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</si>
  <si>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</si>
  <si>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</si>
  <si>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</si>
  <si>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</si>
  <si>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</si>
  <si>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</si>
  <si>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</si>
  <si>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</si>
  <si>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</si>
  <si>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</si>
  <si>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</si>
  <si>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</si>
  <si>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</si>
  <si>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</si>
  <si>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</si>
  <si>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</si>
  <si>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</si>
  <si>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</si>
  <si>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</si>
  <si>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</si>
  <si>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</si>
  <si>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</si>
  <si>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</si>
  <si>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</si>
  <si>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</si>
  <si>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</si>
  <si>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</si>
  <si>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</si>
  <si>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</si>
  <si>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</si>
  <si>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</si>
  <si>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</si>
  <si>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</si>
  <si>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</si>
  <si>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</si>
  <si>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</si>
  <si>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</si>
  <si>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</si>
  <si>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</si>
  <si>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</si>
  <si>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</si>
  <si>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</si>
  <si>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</si>
  <si>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</si>
  <si>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</si>
  <si>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</si>
  <si>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</si>
  <si>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</si>
  <si>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</si>
  <si>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</si>
  <si>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</si>
  <si>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</si>
  <si>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</si>
  <si>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</si>
  <si>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</si>
  <si>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</si>
  <si>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</si>
  <si>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</si>
  <si>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</si>
  <si>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</si>
  <si>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</si>
  <si>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</si>
  <si>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</si>
  <si>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</si>
  <si>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</si>
  <si>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</si>
  <si>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</si>
  <si>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</si>
  <si>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</si>
  <si>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</si>
  <si>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</si>
  <si>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</si>
  <si>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</si>
  <si>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</si>
  <si>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</si>
  <si>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</si>
  <si>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</si>
  <si>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</si>
  <si>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</si>
  <si>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</si>
  <si>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</si>
  <si>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</si>
  <si>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</si>
  <si>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</si>
  <si>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</si>
  <si>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</si>
  <si>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</si>
  <si>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</si>
  <si>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</si>
  <si>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</si>
  <si>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</si>
  <si>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</si>
  <si>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</si>
  <si>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</si>
  <si>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</si>
  <si>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</si>
  <si>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</si>
  <si>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</si>
  <si>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</si>
  <si>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</si>
  <si>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</si>
  <si>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</si>
  <si>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</si>
  <si>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</si>
  <si>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</si>
  <si>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</si>
  <si>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</si>
  <si>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</si>
  <si>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</si>
  <si>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</si>
  <si>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</si>
  <si>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</si>
  <si>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</si>
  <si>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</si>
  <si>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</si>
  <si>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</si>
  <si>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</si>
  <si>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</si>
  <si>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</si>
  <si>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</si>
  <si>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</si>
  <si>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</si>
  <si>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</si>
  <si>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</si>
  <si>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</si>
  <si>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</si>
  <si>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</si>
  <si>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</si>
  <si>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</si>
  <si>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</si>
  <si>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</si>
  <si>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</si>
  <si>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</si>
  <si>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</si>
  <si>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</si>
  <si>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</si>
  <si>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</si>
  <si>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</si>
  <si>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</si>
  <si>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</si>
  <si>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</si>
  <si>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</si>
  <si>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</si>
  <si>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</si>
  <si>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</si>
  <si>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</si>
  <si>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</si>
  <si>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</si>
  <si>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</si>
  <si>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</si>
  <si>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</si>
  <si>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</si>
  <si>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</si>
  <si>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</si>
  <si>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</si>
  <si>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</si>
  <si>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</si>
  <si>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</si>
  <si>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</si>
  <si>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</si>
  <si>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</si>
  <si>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</si>
  <si>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</si>
  <si>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</si>
  <si>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</si>
  <si>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</si>
  <si>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</si>
  <si>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</si>
  <si>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</si>
  <si>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</si>
  <si>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</si>
  <si>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</si>
  <si>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</si>
  <si>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</si>
  <si>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</si>
  <si>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</si>
  <si>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</si>
  <si>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</si>
  <si>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</si>
  <si>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</si>
  <si>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</si>
  <si>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</si>
  <si>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</si>
  <si>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</si>
  <si>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</si>
  <si>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</si>
  <si>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</si>
  <si>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</si>
  <si>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</si>
  <si>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</si>
  <si>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</si>
  <si>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</si>
  <si>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</si>
  <si>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</si>
  <si>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</si>
  <si>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</si>
  <si>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</si>
  <si>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</si>
  <si>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</si>
  <si>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</si>
  <si>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</si>
  <si>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</si>
  <si>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</si>
  <si>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</si>
  <si>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</si>
  <si>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</si>
  <si>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</si>
  <si>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</si>
  <si>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</si>
  <si>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</si>
  <si>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</si>
  <si>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</si>
  <si>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</si>
  <si>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</si>
  <si>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</si>
  <si>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</si>
  <si>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</si>
  <si>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</si>
  <si>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</si>
  <si>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</si>
  <si>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</si>
  <si>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</si>
  <si>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</si>
  <si>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</si>
  <si>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</si>
  <si>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</si>
  <si>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</si>
  <si>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</si>
  <si>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</si>
  <si>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</si>
  <si>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</si>
  <si>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</si>
  <si>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</si>
  <si>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</si>
  <si>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</si>
  <si>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</si>
  <si>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</si>
  <si>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</si>
  <si>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</si>
  <si>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</si>
  <si>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</si>
  <si>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</si>
  <si>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</si>
  <si>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</si>
  <si>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</si>
  <si>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</si>
  <si>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</si>
  <si>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</si>
  <si>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</si>
  <si>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</si>
  <si>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</si>
  <si>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</si>
  <si>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</si>
  <si>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</si>
  <si>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</si>
  <si>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</si>
  <si>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</si>
  <si>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</si>
  <si>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</si>
  <si>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</si>
  <si>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</si>
  <si>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</si>
  <si>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</si>
  <si>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</si>
  <si>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</si>
  <si>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</si>
  <si>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</si>
  <si>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</si>
  <si>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</si>
  <si>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</si>
  <si>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</si>
  <si>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</si>
  <si>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</si>
  <si>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</si>
  <si>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</si>
  <si>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</si>
  <si>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</si>
  <si>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</si>
  <si>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</si>
  <si>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</si>
  <si>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</si>
  <si>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</si>
  <si>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</si>
  <si>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</si>
  <si>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</si>
  <si>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</si>
  <si>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</si>
  <si>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</si>
  <si>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</si>
  <si>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</si>
  <si>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</si>
  <si>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</si>
  <si>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</si>
  <si>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</si>
  <si>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</si>
  <si>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</si>
  <si>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</si>
  <si>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</si>
  <si>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</si>
  <si>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</si>
  <si>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</si>
  <si>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</si>
  <si>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</si>
  <si>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</si>
  <si>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</si>
  <si>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</si>
  <si>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</si>
  <si>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</si>
  <si>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</si>
  <si>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</si>
  <si>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</si>
  <si>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</si>
  <si>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</si>
  <si>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</si>
  <si>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</si>
  <si>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</si>
  <si>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</si>
  <si>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</si>
  <si>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</si>
  <si>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</si>
  <si>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</si>
  <si>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</si>
  <si>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</si>
  <si>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</si>
  <si>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</si>
  <si>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</si>
  <si>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</si>
  <si>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</si>
  <si>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</si>
  <si>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</si>
  <si>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</si>
  <si>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</si>
  <si>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</si>
  <si>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</si>
  <si>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</si>
  <si>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</si>
  <si>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</si>
  <si>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</si>
  <si>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</si>
  <si>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</si>
  <si>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</si>
  <si>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</si>
  <si>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</si>
  <si>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</si>
  <si>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</si>
  <si>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</si>
  <si>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</si>
  <si>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</si>
  <si>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</si>
  <si>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</si>
  <si>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</si>
  <si>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</si>
  <si>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</si>
  <si>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</si>
  <si>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</si>
  <si>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</si>
  <si>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</si>
  <si>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</si>
  <si>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</si>
  <si>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</si>
  <si>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</si>
  <si>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</si>
  <si>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</si>
  <si>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</si>
  <si>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</si>
  <si>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</si>
  <si>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</si>
  <si>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</si>
  <si>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</si>
  <si>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</si>
  <si>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</si>
  <si>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</si>
  <si>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</si>
  <si>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</si>
  <si>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</si>
  <si>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</si>
  <si>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</si>
  <si>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</si>
  <si>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</si>
  <si>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</si>
  <si>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</si>
  <si>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</si>
  <si>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</si>
  <si>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</si>
  <si>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</si>
  <si>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</si>
  <si>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</si>
  <si>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</si>
  <si>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</si>
  <si>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</si>
  <si>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</si>
  <si>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</si>
  <si>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</si>
  <si>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</si>
  <si>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</si>
  <si>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</si>
  <si>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</si>
  <si>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</si>
  <si>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</si>
  <si>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</si>
  <si>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</si>
  <si>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</si>
  <si>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</si>
  <si>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</si>
  <si>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</si>
  <si>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</si>
  <si>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</si>
  <si>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</si>
  <si>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</si>
  <si>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</si>
  <si>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</si>
  <si>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</si>
  <si>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</si>
  <si>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</si>
  <si>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</si>
  <si>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</si>
  <si>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</si>
  <si>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</si>
  <si>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</si>
  <si>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</si>
  <si>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</si>
  <si>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</si>
  <si>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</si>
  <si>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</si>
  <si>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</si>
  <si>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</si>
  <si>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</si>
  <si>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</si>
  <si>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</si>
  <si>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</si>
  <si>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</si>
  <si>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</si>
  <si>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</si>
  <si>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</si>
  <si>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</si>
  <si>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</si>
  <si>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</si>
  <si>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</si>
  <si>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</si>
  <si>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</si>
  <si>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</si>
  <si>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</si>
  <si>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</si>
  <si>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</si>
  <si>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</si>
  <si>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</si>
  <si>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</si>
  <si>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</si>
  <si>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</si>
  <si>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</si>
  <si>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</si>
  <si>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</si>
  <si>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</si>
  <si>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</si>
  <si>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</si>
  <si>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</si>
  <si>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</si>
  <si>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</si>
  <si>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</si>
  <si>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</si>
  <si>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</si>
  <si>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</si>
  <si>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</si>
  <si>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</si>
  <si>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</si>
  <si>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</si>
  <si>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</si>
  <si>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</si>
  <si>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</si>
  <si>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</si>
  <si>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</si>
  <si>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</si>
  <si>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</si>
  <si>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</si>
  <si>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</si>
  <si>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</si>
  <si>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</si>
  <si>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</si>
  <si>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</si>
  <si>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</si>
  <si>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</si>
  <si>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</si>
  <si>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</si>
  <si>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</si>
  <si>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</si>
  <si>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</si>
  <si>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</si>
  <si>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</si>
  <si>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</si>
  <si>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</si>
  <si>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</si>
  <si>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</si>
  <si>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</si>
  <si>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</si>
  <si>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</si>
  <si>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</si>
  <si>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</si>
  <si>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</si>
  <si>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</si>
  <si>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</si>
  <si>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</si>
  <si>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</si>
  <si>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</si>
  <si>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</si>
  <si>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</si>
  <si>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</si>
  <si>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</si>
  <si>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</si>
  <si>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</si>
  <si>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</si>
  <si>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</si>
  <si>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</si>
  <si>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</si>
  <si>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</si>
  <si>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</si>
  <si>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</si>
  <si>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</si>
  <si>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</si>
  <si>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</si>
  <si>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</si>
  <si>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</si>
  <si>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</si>
  <si>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</si>
  <si>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</si>
  <si>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</si>
  <si>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</si>
  <si>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</si>
  <si>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</si>
  <si>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</si>
  <si>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</si>
  <si>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</si>
  <si>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</si>
  <si>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</si>
  <si>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</si>
  <si>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</si>
  <si>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</si>
  <si>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</si>
  <si>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</si>
  <si>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</si>
  <si>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</si>
  <si>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</si>
  <si>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</si>
  <si>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</si>
  <si>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</si>
  <si>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</si>
  <si>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</si>
  <si>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</si>
  <si>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</si>
  <si>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</si>
  <si>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</si>
  <si>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</si>
  <si>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</si>
  <si>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</si>
  <si>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</si>
  <si>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</si>
  <si>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</si>
  <si>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</si>
  <si>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</si>
  <si>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</si>
  <si>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</si>
  <si>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</si>
  <si>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</si>
  <si>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</si>
  <si>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</si>
  <si>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</si>
  <si>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</si>
  <si>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</si>
  <si>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</si>
  <si>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</si>
  <si>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</si>
  <si>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</si>
  <si>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</si>
  <si>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</si>
  <si>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</si>
  <si>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</si>
  <si>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</si>
  <si>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</si>
  <si>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</si>
  <si>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</si>
  <si>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</si>
  <si>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</si>
  <si>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</si>
  <si>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</si>
  <si>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</si>
  <si>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</si>
  <si>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</si>
  <si>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</si>
  <si>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</si>
  <si>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</si>
  <si>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</si>
  <si>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</si>
  <si>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</si>
  <si>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</si>
  <si>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</si>
  <si>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</si>
  <si>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</si>
  <si>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</si>
  <si>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</si>
  <si>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</si>
  <si>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</si>
  <si>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</si>
  <si>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</si>
  <si>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</si>
  <si>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</si>
  <si>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</si>
  <si>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</si>
  <si>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</si>
  <si>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</si>
  <si>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</si>
  <si>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</si>
  <si>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</si>
  <si>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</si>
  <si>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</si>
  <si>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</si>
  <si>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</si>
  <si>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</si>
  <si>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</si>
  <si>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</si>
  <si>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</si>
  <si>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</si>
  <si>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</si>
  <si>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</si>
  <si>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</si>
  <si>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</si>
  <si>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</si>
  <si>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</si>
  <si>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</si>
  <si>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</si>
  <si>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</si>
  <si>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</si>
  <si>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</si>
  <si>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</si>
  <si>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</si>
  <si>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</si>
  <si>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</si>
  <si>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</si>
  <si>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</si>
  <si>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</si>
  <si>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</si>
  <si>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</si>
  <si>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</si>
  <si>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</si>
  <si>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</si>
  <si>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</si>
  <si>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</si>
  <si>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</si>
  <si>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</si>
  <si>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</si>
  <si>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</si>
  <si>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</si>
  <si>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</si>
  <si>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</si>
  <si>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</si>
  <si>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</si>
  <si>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</si>
  <si>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</si>
  <si>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</si>
  <si>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</si>
  <si>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</si>
  <si>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</si>
  <si>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</si>
  <si>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</si>
  <si>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</si>
  <si>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</si>
  <si>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</si>
  <si>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</si>
  <si>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</si>
  <si>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</si>
  <si>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</si>
  <si>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</si>
  <si>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</si>
  <si>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</si>
  <si>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</si>
  <si>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</si>
  <si>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</si>
  <si>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</si>
  <si>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</si>
  <si>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</si>
  <si>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</si>
  <si>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</si>
  <si>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</si>
  <si>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</si>
  <si>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</si>
  <si>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</si>
  <si>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</si>
  <si>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</si>
  <si>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</si>
  <si>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</si>
  <si>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</si>
  <si>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</si>
  <si>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</si>
  <si>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</si>
  <si>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</si>
  <si>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</si>
  <si>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</si>
  <si>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</si>
  <si>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</si>
  <si>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</si>
  <si>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</si>
  <si>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</si>
  <si>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</si>
  <si>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</si>
  <si>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</si>
  <si>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</si>
  <si>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</si>
  <si>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</si>
  <si>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</si>
  <si>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</si>
  <si>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</si>
  <si>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</si>
  <si>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</si>
  <si>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</si>
  <si>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</si>
  <si>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</si>
  <si>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</si>
  <si>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</si>
  <si>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</si>
  <si>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</si>
  <si>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</si>
  <si>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</si>
  <si>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</si>
  <si>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</si>
  <si>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</si>
  <si>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</si>
  <si>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</si>
  <si>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</si>
  <si>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</si>
  <si>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</si>
  <si>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</si>
  <si>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</si>
  <si>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</si>
  <si>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</si>
  <si>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</si>
  <si>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</si>
  <si>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</si>
  <si>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</si>
  <si>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</si>
  <si>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</si>
  <si>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</si>
  <si>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</si>
  <si>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</si>
  <si>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</si>
  <si>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</si>
  <si>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</si>
  <si>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</si>
  <si>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</si>
  <si>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</si>
  <si>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</si>
  <si>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</si>
  <si>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</si>
  <si>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</si>
  <si>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</si>
  <si>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</si>
  <si>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</si>
  <si>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</si>
  <si>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</si>
  <si>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</si>
  <si>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</si>
  <si>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</si>
  <si>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</si>
  <si>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</si>
  <si>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</si>
  <si>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</si>
  <si>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</si>
  <si>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</si>
  <si>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</si>
  <si>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</si>
  <si>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</si>
  <si>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</si>
  <si>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</si>
  <si>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</si>
  <si>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</si>
  <si>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</si>
  <si>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</si>
  <si>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</si>
  <si>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</si>
  <si>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</si>
  <si>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</si>
  <si>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</si>
  <si>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36012</t>
  </si>
  <si>
    <t>MOORSLEDE</t>
  </si>
  <si>
    <t>Paarden&amp;pony's 200 - 600 kg</t>
  </si>
  <si>
    <t>Paarden&amp;pony's &lt; 200 kg</t>
  </si>
  <si>
    <t>referentietaak LNE (2017); Jaarverslag De Lijn (2015)</t>
  </si>
  <si>
    <t>op basis van VEA (maart 2018) en Inventaris Hernieuwbare Energiebronnen (juni 2018)</t>
  </si>
  <si>
    <t>VEA (januari 2017)</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</si>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</sst>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92656.359907407677</c:v>
                </c:pt>
                <c:pt idx="1">
                  <c:v>46585.746249972151</c:v>
                </c:pt>
                <c:pt idx="2">
                  <c:v>1004.636</c:v>
                </c:pt>
                <c:pt idx="3">
                  <c:v>12480.292627146941</c:v>
                </c:pt>
                <c:pt idx="4">
                  <c:v>47351.215174357065</c:v>
                </c:pt>
                <c:pt idx="5">
                  <c:v>37058.390881909727</c:v>
                </c:pt>
                <c:pt idx="6">
                  <c:v>1256.5385409518931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92656.359907407677</c:v>
                </c:pt>
                <c:pt idx="1">
                  <c:v>46585.746249972151</c:v>
                </c:pt>
                <c:pt idx="2">
                  <c:v>1004.636</c:v>
                </c:pt>
                <c:pt idx="3">
                  <c:v>12480.292627146941</c:v>
                </c:pt>
                <c:pt idx="4">
                  <c:v>47351.215174357065</c:v>
                </c:pt>
                <c:pt idx="5">
                  <c:v>37058.390881909727</c:v>
                </c:pt>
                <c:pt idx="6">
                  <c:v>1256.5385409518931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15996.383434903797</c:v>
                </c:pt>
                <c:pt idx="1">
                  <c:v>7273.1171027944074</c:v>
                </c:pt>
                <c:pt idx="2">
                  <c:v>181.58374810217737</c:v>
                </c:pt>
                <c:pt idx="3">
                  <c:v>3067.3667657361916</c:v>
                </c:pt>
                <c:pt idx="4">
                  <c:v>8757.9900067572453</c:v>
                </c:pt>
                <c:pt idx="5">
                  <c:v>9465.3632155069954</c:v>
                </c:pt>
                <c:pt idx="6">
                  <c:v>325.40253187995506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75296"/>
      </c:barChart>
      <c:catAx>
        <c:axId val="183405568"/>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15996.383434903797</c:v>
                </c:pt>
                <c:pt idx="1">
                  <c:v>7273.1171027944074</c:v>
                </c:pt>
                <c:pt idx="2">
                  <c:v>181.58374810217737</c:v>
                </c:pt>
                <c:pt idx="3">
                  <c:v>3067.3667657361916</c:v>
                </c:pt>
                <c:pt idx="4">
                  <c:v>8757.9900067572453</c:v>
                </c:pt>
                <c:pt idx="5">
                  <c:v>9465.3632155069954</c:v>
                </c:pt>
                <c:pt idx="6">
                  <c:v>325.40253187995506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36012</v>
      </c>
      <c r="B6" s="415"/>
      <c r="C6" s="416"/>
    </row>
    <row r="7" spans="1:7" s="413" customFormat="1" ht="15.75" customHeight="1">
      <c r="A7" s="417" t="str">
        <f>txtMunicipality</f>
        <v>MOORSLEDE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4536</v>
      </c>
      <c r="C9" s="342">
        <v>4751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2516.94</v>
      </c>
    </row>
    <row r="15" spans="1:6">
      <c r="A15" s="348" t="s">
        <v>184</v>
      </c>
      <c r="B15" s="334">
        <v>24</v>
      </c>
    </row>
    <row r="16" spans="1:6">
      <c r="A16" s="348" t="s">
        <v>6</v>
      </c>
      <c r="B16" s="334">
        <v>670</v>
      </c>
    </row>
    <row r="17" spans="1:6">
      <c r="A17" s="348" t="s">
        <v>7</v>
      </c>
      <c r="B17" s="334">
        <v>603</v>
      </c>
    </row>
    <row r="18" spans="1:6">
      <c r="A18" s="348" t="s">
        <v>8</v>
      </c>
      <c r="B18" s="334">
        <v>829</v>
      </c>
    </row>
    <row r="19" spans="1:6">
      <c r="A19" s="348" t="s">
        <v>9</v>
      </c>
      <c r="B19" s="334">
        <v>843</v>
      </c>
    </row>
    <row r="20" spans="1:6">
      <c r="A20" s="348" t="s">
        <v>10</v>
      </c>
      <c r="B20" s="334">
        <v>652</v>
      </c>
    </row>
    <row r="21" spans="1:6">
      <c r="A21" s="348" t="s">
        <v>11</v>
      </c>
      <c r="B21" s="334">
        <v>8824</v>
      </c>
    </row>
    <row r="22" spans="1:6">
      <c r="A22" s="348" t="s">
        <v>12</v>
      </c>
      <c r="B22" s="334">
        <v>29136</v>
      </c>
    </row>
    <row r="23" spans="1:6">
      <c r="A23" s="348" t="s">
        <v>13</v>
      </c>
      <c r="B23" s="334">
        <v>462</v>
      </c>
    </row>
    <row r="24" spans="1:6">
      <c r="A24" s="348" t="s">
        <v>14</v>
      </c>
      <c r="B24" s="334">
        <v>15</v>
      </c>
    </row>
    <row r="25" spans="1:6">
      <c r="A25" s="348" t="s">
        <v>15</v>
      </c>
      <c r="B25" s="334">
        <v>2428</v>
      </c>
    </row>
    <row r="26" spans="1:6">
      <c r="A26" s="348" t="s">
        <v>16</v>
      </c>
      <c r="B26" s="334">
        <v>188</v>
      </c>
    </row>
    <row r="27" spans="1:6">
      <c r="A27" s="348" t="s">
        <v>17</v>
      </c>
      <c r="B27" s="334">
        <v>6</v>
      </c>
    </row>
    <row r="28" spans="1:6" s="356" customFormat="1">
      <c r="A28" s="355" t="s">
        <v>18</v>
      </c>
      <c r="B28" s="355">
        <v>93482</v>
      </c>
    </row>
    <row r="29" spans="1:6">
      <c r="A29" s="355" t="s">
        <v>812</v>
      </c>
      <c r="B29" s="355">
        <v>161</v>
      </c>
      <c r="C29" s="356"/>
      <c r="D29" s="356"/>
      <c r="E29" s="356"/>
      <c r="F29" s="356"/>
    </row>
    <row r="30" spans="1:6">
      <c r="A30" s="355" t="s">
        <v>813</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20627.399341</v>
      </c>
    </row>
    <row r="37" spans="1:6">
      <c r="A37" s="348" t="s">
        <v>25</v>
      </c>
      <c r="B37" s="348" t="s">
        <v>28</v>
      </c>
      <c r="C37" s="334">
        <v>0</v>
      </c>
      <c r="D37" s="334">
        <v>0</v>
      </c>
      <c r="E37" s="334">
        <v>0</v>
      </c>
      <c r="F37" s="334">
        <v>0</v>
      </c>
    </row>
    <row r="38" spans="1:6">
      <c r="A38" s="348" t="s">
        <v>25</v>
      </c>
      <c r="B38" s="348" t="s">
        <v>29</v>
      </c>
      <c r="C38" s="334">
        <v>1</v>
      </c>
      <c r="D38" s="334">
        <v>44016.337986999999</v>
      </c>
      <c r="E38" s="334">
        <v>5</v>
      </c>
      <c r="F38" s="334">
        <v>128737.40901</v>
      </c>
    </row>
    <row r="39" spans="1:6">
      <c r="A39" s="348" t="s">
        <v>30</v>
      </c>
      <c r="B39" s="348" t="s">
        <v>31</v>
      </c>
      <c r="C39" s="334">
        <v>2907</v>
      </c>
      <c r="D39" s="334">
        <v>42990409.982000001</v>
      </c>
      <c r="E39" s="334">
        <v>4181</v>
      </c>
      <c r="F39" s="334">
        <v>15100283.434</v>
      </c>
    </row>
    <row r="40" spans="1:6">
      <c r="A40" s="348" t="s">
        <v>30</v>
      </c>
      <c r="B40" s="348" t="s">
        <v>29</v>
      </c>
      <c r="C40" s="334">
        <v>0</v>
      </c>
      <c r="D40" s="334">
        <v>0</v>
      </c>
      <c r="E40" s="334">
        <v>0</v>
      </c>
      <c r="F40" s="334">
        <v>4383</v>
      </c>
    </row>
    <row r="41" spans="1:6">
      <c r="A41" s="348" t="s">
        <v>32</v>
      </c>
      <c r="B41" s="348" t="s">
        <v>33</v>
      </c>
      <c r="C41" s="334">
        <v>59</v>
      </c>
      <c r="D41" s="334">
        <v>1118470.8160999999</v>
      </c>
      <c r="E41" s="334">
        <v>107</v>
      </c>
      <c r="F41" s="334">
        <v>1878085.9575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252126.63107999999</v>
      </c>
      <c r="E44" s="334">
        <v>18</v>
      </c>
      <c r="F44" s="334">
        <v>1235284.719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79557.396890999997</v>
      </c>
      <c r="E47" s="334">
        <v>4</v>
      </c>
      <c r="F47" s="334">
        <v>61143.569310999999</v>
      </c>
    </row>
    <row r="48" spans="1:6">
      <c r="A48" s="348" t="s">
        <v>32</v>
      </c>
      <c r="B48" s="348" t="s">
        <v>29</v>
      </c>
      <c r="C48" s="334">
        <v>23</v>
      </c>
      <c r="D48" s="334">
        <v>16569383.506999999</v>
      </c>
      <c r="E48" s="334">
        <v>37</v>
      </c>
      <c r="F48" s="334">
        <v>15890696.039999999</v>
      </c>
    </row>
    <row r="49" spans="1:6">
      <c r="A49" s="348" t="s">
        <v>32</v>
      </c>
      <c r="B49" s="348" t="s">
        <v>40</v>
      </c>
      <c r="C49" s="334">
        <v>0</v>
      </c>
      <c r="D49" s="334">
        <v>0</v>
      </c>
      <c r="E49" s="334">
        <v>4</v>
      </c>
      <c r="F49" s="334">
        <v>403591.14111000003</v>
      </c>
    </row>
    <row r="50" spans="1:6">
      <c r="A50" s="348" t="s">
        <v>32</v>
      </c>
      <c r="B50" s="348" t="s">
        <v>41</v>
      </c>
      <c r="C50" s="334">
        <v>6</v>
      </c>
      <c r="D50" s="334">
        <v>235579.92678000001</v>
      </c>
      <c r="E50" s="334">
        <v>8</v>
      </c>
      <c r="F50" s="334">
        <v>179485.04644999999</v>
      </c>
    </row>
    <row r="51" spans="1:6">
      <c r="A51" s="348" t="s">
        <v>42</v>
      </c>
      <c r="B51" s="348" t="s">
        <v>43</v>
      </c>
      <c r="C51" s="334">
        <v>5</v>
      </c>
      <c r="D51" s="334">
        <v>117163.47106</v>
      </c>
      <c r="E51" s="334">
        <v>130</v>
      </c>
      <c r="F51" s="334">
        <v>2093013.6784999999</v>
      </c>
    </row>
    <row r="52" spans="1:6">
      <c r="A52" s="348" t="s">
        <v>42</v>
      </c>
      <c r="B52" s="348" t="s">
        <v>29</v>
      </c>
      <c r="C52" s="334">
        <v>5</v>
      </c>
      <c r="D52" s="334">
        <v>62252.356357999997</v>
      </c>
      <c r="E52" s="334">
        <v>8</v>
      </c>
      <c r="F52" s="334">
        <v>194297.21296999999</v>
      </c>
    </row>
    <row r="53" spans="1:6">
      <c r="A53" s="348" t="s">
        <v>44</v>
      </c>
      <c r="B53" s="348" t="s">
        <v>45</v>
      </c>
      <c r="C53" s="334">
        <v>81</v>
      </c>
      <c r="D53" s="334">
        <v>1421643.1954999999</v>
      </c>
      <c r="E53" s="334">
        <v>124</v>
      </c>
      <c r="F53" s="334">
        <v>493715.60661000002</v>
      </c>
    </row>
    <row r="54" spans="1:6">
      <c r="A54" s="348" t="s">
        <v>46</v>
      </c>
      <c r="B54" s="348" t="s">
        <v>47</v>
      </c>
      <c r="C54" s="334">
        <v>0</v>
      </c>
      <c r="D54" s="334">
        <v>0</v>
      </c>
      <c r="E54" s="334">
        <v>1</v>
      </c>
      <c r="F54" s="334">
        <v>1004636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1408435.6148999999</v>
      </c>
      <c r="E57" s="334">
        <v>70</v>
      </c>
      <c r="F57" s="334">
        <v>1154798.5802</v>
      </c>
    </row>
    <row r="58" spans="1:6">
      <c r="A58" s="348" t="s">
        <v>49</v>
      </c>
      <c r="B58" s="348" t="s">
        <v>51</v>
      </c>
      <c r="C58" s="334">
        <v>21</v>
      </c>
      <c r="D58" s="334">
        <v>1955728.9339000001</v>
      </c>
      <c r="E58" s="334">
        <v>23</v>
      </c>
      <c r="F58" s="334">
        <v>746383.98794999998</v>
      </c>
    </row>
    <row r="59" spans="1:6">
      <c r="A59" s="348" t="s">
        <v>49</v>
      </c>
      <c r="B59" s="348" t="s">
        <v>52</v>
      </c>
      <c r="C59" s="334">
        <v>54</v>
      </c>
      <c r="D59" s="334">
        <v>1536322.7566</v>
      </c>
      <c r="E59" s="334">
        <v>143</v>
      </c>
      <c r="F59" s="334">
        <v>3127548.4780999999</v>
      </c>
    </row>
    <row r="60" spans="1:6">
      <c r="A60" s="348" t="s">
        <v>49</v>
      </c>
      <c r="B60" s="348" t="s">
        <v>53</v>
      </c>
      <c r="C60" s="334">
        <v>50</v>
      </c>
      <c r="D60" s="334">
        <v>2706648.3091000002</v>
      </c>
      <c r="E60" s="334">
        <v>66</v>
      </c>
      <c r="F60" s="334">
        <v>1175496.3018</v>
      </c>
    </row>
    <row r="61" spans="1:6">
      <c r="A61" s="348" t="s">
        <v>49</v>
      </c>
      <c r="B61" s="348" t="s">
        <v>54</v>
      </c>
      <c r="C61" s="334">
        <v>62</v>
      </c>
      <c r="D61" s="334">
        <v>1515111.9317999999</v>
      </c>
      <c r="E61" s="334">
        <v>130</v>
      </c>
      <c r="F61" s="334">
        <v>1111820.7349</v>
      </c>
    </row>
    <row r="62" spans="1:6">
      <c r="A62" s="348" t="s">
        <v>49</v>
      </c>
      <c r="B62" s="348" t="s">
        <v>55</v>
      </c>
      <c r="C62" s="334">
        <v>4</v>
      </c>
      <c r="D62" s="334">
        <v>234419.25940000001</v>
      </c>
      <c r="E62" s="334">
        <v>5</v>
      </c>
      <c r="F62" s="334">
        <v>96919.294433000003</v>
      </c>
    </row>
    <row r="63" spans="1:6">
      <c r="A63" s="348" t="s">
        <v>49</v>
      </c>
      <c r="B63" s="348" t="s">
        <v>29</v>
      </c>
      <c r="C63" s="334">
        <v>80</v>
      </c>
      <c r="D63" s="334">
        <v>5631521.8059</v>
      </c>
      <c r="E63" s="334">
        <v>79</v>
      </c>
      <c r="F63" s="334">
        <v>5769508.2884999998</v>
      </c>
    </row>
    <row r="64" spans="1:6">
      <c r="A64" s="348" t="s">
        <v>56</v>
      </c>
      <c r="B64" s="348" t="s">
        <v>57</v>
      </c>
      <c r="C64" s="334">
        <v>0</v>
      </c>
      <c r="D64" s="334">
        <v>0</v>
      </c>
      <c r="E64" s="334">
        <v>0</v>
      </c>
      <c r="F64" s="334">
        <v>0</v>
      </c>
    </row>
    <row r="65" spans="1:6">
      <c r="A65" s="348" t="s">
        <v>56</v>
      </c>
      <c r="B65" s="348" t="s">
        <v>29</v>
      </c>
      <c r="C65" s="334">
        <v>2</v>
      </c>
      <c r="D65" s="334">
        <v>35036.751774999997</v>
      </c>
      <c r="E65" s="334">
        <v>2</v>
      </c>
      <c r="F65" s="334">
        <v>21004.112428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320388.14616</v>
      </c>
      <c r="E68" s="334">
        <v>22</v>
      </c>
      <c r="F68" s="334">
        <v>274217.17845000001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7466137</v>
      </c>
      <c r="E73" s="476">
        <v>7331429.4879234172</v>
      </c>
    </row>
    <row r="74" spans="1:6">
      <c r="A74" s="348" t="s">
        <v>64</v>
      </c>
      <c r="B74" s="348" t="s">
        <v>667</v>
      </c>
      <c r="C74" s="1212" t="s">
        <v>669</v>
      </c>
      <c r="D74" s="476">
        <v>577438.43920036498</v>
      </c>
      <c r="E74" s="476">
        <v>574898.83952039108</v>
      </c>
    </row>
    <row r="75" spans="1:6">
      <c r="A75" s="348" t="s">
        <v>65</v>
      </c>
      <c r="B75" s="348" t="s">
        <v>666</v>
      </c>
      <c r="C75" s="1212" t="s">
        <v>670</v>
      </c>
      <c r="D75" s="476">
        <v>27615470</v>
      </c>
      <c r="E75" s="476">
        <v>27261487.205510322</v>
      </c>
    </row>
    <row r="76" spans="1:6">
      <c r="A76" s="348" t="s">
        <v>65</v>
      </c>
      <c r="B76" s="348" t="s">
        <v>667</v>
      </c>
      <c r="C76" s="1212" t="s">
        <v>671</v>
      </c>
      <c r="D76" s="476">
        <v>1678216.439200365</v>
      </c>
      <c r="E76" s="476">
        <v>1686733.164862527</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337489.12159926997</v>
      </c>
      <c r="C83" s="476">
        <v>337489.12159926997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3047.5471464209795</v>
      </c>
    </row>
    <row r="92" spans="1:6">
      <c r="A92" s="341" t="s">
        <v>69</v>
      </c>
      <c r="B92" s="342">
        <v>1370.8994938755279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1963</v>
      </c>
    </row>
    <row r="98" spans="1:6">
      <c r="A98" s="348" t="s">
        <v>72</v>
      </c>
      <c r="B98" s="334">
        <v>1</v>
      </c>
    </row>
    <row r="99" spans="1:6">
      <c r="A99" s="348" t="s">
        <v>73</v>
      </c>
      <c r="B99" s="334">
        <v>148</v>
      </c>
    </row>
    <row r="100" spans="1:6">
      <c r="A100" s="348" t="s">
        <v>74</v>
      </c>
      <c r="B100" s="334">
        <v>286</v>
      </c>
    </row>
    <row r="101" spans="1:6">
      <c r="A101" s="348" t="s">
        <v>75</v>
      </c>
      <c r="B101" s="334">
        <v>126</v>
      </c>
    </row>
    <row r="102" spans="1:6">
      <c r="A102" s="348" t="s">
        <v>76</v>
      </c>
      <c r="B102" s="334">
        <v>69</v>
      </c>
    </row>
    <row r="103" spans="1:6">
      <c r="A103" s="348" t="s">
        <v>77</v>
      </c>
      <c r="B103" s="334">
        <v>139</v>
      </c>
    </row>
    <row r="104" spans="1:6">
      <c r="A104" s="348" t="s">
        <v>78</v>
      </c>
      <c r="B104" s="334">
        <v>1292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164</v>
      </c>
    </row>
    <row r="130" spans="1:6">
      <c r="A130" s="348" t="s">
        <v>295</v>
      </c>
      <c r="B130" s="334">
        <v>4</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60970.143468035887</v>
      </c>
      <c r="C3" s="43" t="s">
        <v>170</v>
      </c>
      <c r="D3" s="43"/>
      <c r="E3" s="154"/>
      <c r="F3" s="43"/>
      <c r="G3" s="43"/>
      <c r="H3" s="43"/>
      <c r="I3" s="43"/>
      <c r="J3" s="43"/>
      <c r="K3" s="96"/>
    </row>
    <row r="4" spans="1:11">
      <c r="A4" s="383" t="s">
        <v>171</v>
      </c>
      <c r="B4" s="49">
        <f>IF(ISERROR('SEAP template'!B69),0,'SEAP template'!B69)</f>
        <v>11105.446640296508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0.18074581052458538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9552.8571428571431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1004.636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1004.636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0.18074581052458538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181.58374810217737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15104.666434000001</v>
      </c>
      <c r="C5" s="17">
        <f>IF(ISERROR('Eigen informatie GS &amp; warmtenet'!B57),0,'Eigen informatie GS &amp; warmtenet'!B57)</f>
        <v>0</v>
      </c>
      <c r="D5" s="30">
        <f>(SUM(HH_hh_gas_kWh,HH_rest_gas_kWh)/1000)*0.902</f>
        <v>38777.349803764002</v>
      </c>
      <c r="E5" s="17">
        <f>B46*B57</f>
        <v>6688.9172018563731</v>
      </c>
      <c r="F5" s="17">
        <f>B51*B62</f>
        <v>10768.968990757779</v>
      </c>
      <c r="G5" s="18"/>
      <c r="H5" s="17"/>
      <c r="I5" s="17"/>
      <c r="J5" s="17">
        <f>B50*B61+C50*C61</f>
        <v>1380.5742733931284</v>
      </c>
      <c r="K5" s="17"/>
      <c r="L5" s="17"/>
      <c r="M5" s="17"/>
      <c r="N5" s="17">
        <f>B48*B59+C48*C59</f>
        <v>16173.092723882073</v>
      </c>
      <c r="O5" s="17">
        <f>B69*B70*B71</f>
        <v>276.70999999999998</v>
      </c>
      <c r="P5" s="17">
        <f>B77*B78*B79/1000-B77*B78*B79/1000/B80</f>
        <v>438.5333333333333</v>
      </c>
    </row>
    <row r="6" spans="1:16">
      <c r="A6" s="16" t="s">
        <v>624</v>
      </c>
      <c r="B6" s="843">
        <f>kWh_PV_kleiner_dan_10kW</f>
        <v>3047.5471464209795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18152.213580420979</v>
      </c>
      <c r="C8" s="21">
        <f>C5</f>
        <v>0</v>
      </c>
      <c r="D8" s="21">
        <f>D5</f>
        <v>38777.349803764002</v>
      </c>
      <c r="E8" s="21">
        <f>E5</f>
        <v>6688.9172018563731</v>
      </c>
      <c r="F8" s="21">
        <f>F5</f>
        <v>10768.968990757779</v>
      </c>
      <c r="G8" s="21"/>
      <c r="H8" s="21"/>
      <c r="I8" s="21"/>
      <c r="J8" s="21">
        <f>J5</f>
        <v>1380.5742733931284</v>
      </c>
      <c r="K8" s="21"/>
      <c r="L8" s="21">
        <f>L5</f>
        <v>0</v>
      </c>
      <c r="M8" s="21">
        <f>M5</f>
        <v>0</v>
      </c>
      <c r="N8" s="21">
        <f>N5</f>
        <v>16173.092723882073</v>
      </c>
      <c r="O8" s="21">
        <f>O5</f>
        <v>276.70999999999998</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0.18074581052458538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3280.9365564085761</v>
      </c>
      <c r="C12" s="23">
        <f ca="1">C10*C8</f>
        <v>0</v>
      </c>
      <c r="D12" s="23">
        <f>D8*D10</f>
        <v>7833.0246603603291</v>
      </c>
      <c r="E12" s="23">
        <f>E10*E8</f>
        <v>1518.3842048213967</v>
      </c>
      <c r="F12" s="23">
        <f>F10*F8</f>
        <v>2875.3147205323271</v>
      </c>
      <c r="G12" s="23"/>
      <c r="H12" s="23"/>
      <c r="I12" s="23"/>
      <c r="J12" s="23">
        <f>J10*J8</f>
        <v>488.7232927811674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1963</v>
      </c>
      <c r="C18" s="166" t="s">
        <v>111</v>
      </c>
      <c r="D18" s="228"/>
      <c r="E18" s="15"/>
    </row>
    <row r="19" spans="1:7">
      <c r="A19" s="171" t="s">
        <v>72</v>
      </c>
      <c r="B19" s="37">
        <f>aantalw2001_ander</f>
        <v>1</v>
      </c>
      <c r="C19" s="166" t="s">
        <v>111</v>
      </c>
      <c r="D19" s="229"/>
      <c r="E19" s="15"/>
    </row>
    <row r="20" spans="1:7">
      <c r="A20" s="171" t="s">
        <v>73</v>
      </c>
      <c r="B20" s="37">
        <f>aantalw2001_propaan</f>
        <v>148</v>
      </c>
      <c r="C20" s="167">
        <f>IF(ISERROR(B20/SUM($B$20,$B$21,$B$22)*100),0,B20/SUM($B$20,$B$21,$B$22)*100)</f>
        <v>26.428571428571431</v>
      </c>
      <c r="D20" s="229"/>
      <c r="E20" s="15"/>
    </row>
    <row r="21" spans="1:7">
      <c r="A21" s="171" t="s">
        <v>74</v>
      </c>
      <c r="B21" s="37">
        <f>aantalw2001_elektriciteit</f>
        <v>286</v>
      </c>
      <c r="C21" s="167">
        <f>IF(ISERROR(B21/SUM($B$20,$B$21,$B$22)*100),0,B21/SUM($B$20,$B$21,$B$22)*100)</f>
        <v>51.071428571428569</v>
      </c>
      <c r="D21" s="229"/>
      <c r="E21" s="15"/>
    </row>
    <row r="22" spans="1:7">
      <c r="A22" s="171" t="s">
        <v>75</v>
      </c>
      <c r="B22" s="37">
        <f>aantalw2001_hout</f>
        <v>126</v>
      </c>
      <c r="C22" s="167">
        <f>IF(ISERROR(B22/SUM($B$20,$B$21,$B$22)*100),0,B22/SUM($B$20,$B$21,$B$22)*100)</f>
        <v>22.5</v>
      </c>
      <c r="D22" s="229"/>
      <c r="E22" s="15"/>
    </row>
    <row r="23" spans="1:7">
      <c r="A23" s="171" t="s">
        <v>76</v>
      </c>
      <c r="B23" s="37">
        <f>aantalw2001_niet_gespec</f>
        <v>69</v>
      </c>
      <c r="C23" s="166" t="s">
        <v>111</v>
      </c>
      <c r="D23" s="228"/>
      <c r="E23" s="15"/>
    </row>
    <row r="24" spans="1:7">
      <c r="A24" s="171" t="s">
        <v>77</v>
      </c>
      <c r="B24" s="37">
        <f>aantalw2001_steenkool</f>
        <v>139</v>
      </c>
      <c r="C24" s="166" t="s">
        <v>111</v>
      </c>
      <c r="D24" s="229"/>
      <c r="E24" s="15"/>
    </row>
    <row r="25" spans="1:7">
      <c r="A25" s="171" t="s">
        <v>78</v>
      </c>
      <c r="B25" s="37">
        <f>aantalw2001_stookolie</f>
        <v>1292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4536</v>
      </c>
      <c r="C28" s="36"/>
      <c r="D28" s="228"/>
    </row>
    <row r="29" spans="1:7" s="15" customFormat="1">
      <c r="A29" s="230" t="s">
        <v>699</v>
      </c>
      <c r="B29" s="37">
        <f>SUM(HH_hh_gas_aantal,HH_rest_gas_aantal)</f>
        <v>2907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2907</v>
      </c>
      <c r="C32" s="167">
        <f>IF(ISERROR(B32/SUM($B$32,$B$34,$B$35,$B$36,$B$38,$B$39)*100),0,B32/SUM($B$32,$B$34,$B$35,$B$36,$B$38,$B$39)*100)</f>
        <v>64.413915355639261</v>
      </c>
      <c r="D32" s="233"/>
      <c r="G32" s="15"/>
    </row>
    <row r="33" spans="1:7">
      <c r="A33" s="171" t="s">
        <v>72</v>
      </c>
      <c r="B33" s="34" t="s">
        <v>111</v>
      </c>
      <c r="C33" s="167"/>
      <c r="D33" s="233"/>
      <c r="G33" s="15"/>
    </row>
    <row r="34" spans="1:7">
      <c r="A34" s="171" t="s">
        <v>73</v>
      </c>
      <c r="B34" s="33">
        <f>IF((($B$28-$B$32-$B$39-$B$77-$B$38)*C20/100)&lt;0,0,($B$28-$B$32-$B$39-$B$77-$B$38)*C20/100)</f>
        <v>295.73571428571432</v>
      </c>
      <c r="C34" s="167">
        <f>IF(ISERROR(B34/SUM($B$32,$B$34,$B$35,$B$36,$B$38,$B$39)*100),0,B34/SUM($B$32,$B$34,$B$35,$B$36,$B$38,$B$39)*100)</f>
        <v>6.5529739482764082</v>
      </c>
      <c r="D34" s="233"/>
      <c r="G34" s="15"/>
    </row>
    <row r="35" spans="1:7">
      <c r="A35" s="171" t="s">
        <v>74</v>
      </c>
      <c r="B35" s="33">
        <f>IF((($B$28-$B$32-$B$39-$B$77-$B$38)*C21/100)&lt;0,0,($B$28-$B$32-$B$39-$B$77-$B$38)*C21/100)</f>
        <v>571.48928571428576</v>
      </c>
      <c r="C35" s="167">
        <f>IF(ISERROR(B35/SUM($B$32,$B$34,$B$35,$B$36,$B$38,$B$39)*100),0,B35/SUM($B$32,$B$34,$B$35,$B$36,$B$38,$B$39)*100)</f>
        <v>12.663179386534139</v>
      </c>
      <c r="D35" s="233"/>
      <c r="G35" s="15"/>
    </row>
    <row r="36" spans="1:7">
      <c r="A36" s="171" t="s">
        <v>75</v>
      </c>
      <c r="B36" s="33">
        <f>IF((($B$28-$B$32-$B$39-$B$77-$B$38)*C22/100)&lt;0,0,($B$28-$B$32-$B$39-$B$77-$B$38)*C22/100)</f>
        <v>251.77500000000001</v>
      </c>
      <c r="C36" s="167">
        <f>IF(ISERROR(B36/SUM($B$32,$B$34,$B$35,$B$36,$B$38,$B$39)*100),0,B36/SUM($B$32,$B$34,$B$35,$B$36,$B$38,$B$39)*100)</f>
        <v>5.5788832262353205</v>
      </c>
      <c r="D36" s="233"/>
      <c r="G36" s="15"/>
    </row>
    <row r="37" spans="1:7">
      <c r="A37" s="171" t="s">
        <v>76</v>
      </c>
      <c r="B37" s="34" t="s">
        <v>111</v>
      </c>
      <c r="C37" s="167"/>
      <c r="D37" s="173"/>
      <c r="G37" s="15"/>
    </row>
    <row r="38" spans="1:7">
      <c r="A38" s="171" t="s">
        <v>77</v>
      </c>
      <c r="B38" s="33">
        <f>IF((B24-(B29-B18)*0.1)&lt;0,0,B24-(B29-B18)*0.1)</f>
        <v>44.599999999999994</v>
      </c>
      <c r="C38" s="167">
        <f>IF(ISERROR(B38/SUM($B$32,$B$34,$B$35,$B$36,$B$38,$B$39)*100),0,B38/SUM($B$32,$B$34,$B$35,$B$36,$B$38,$B$39)*100)</f>
        <v>0.98825614890316849</v>
      </c>
      <c r="D38" s="234"/>
      <c r="G38" s="15"/>
    </row>
    <row r="39" spans="1:7">
      <c r="A39" s="171" t="s">
        <v>78</v>
      </c>
      <c r="B39" s="33">
        <f>IF((B25-(B29-B18))&lt;0,0,B25-(B29-B18)*0.9)</f>
        <v>442.4</v>
      </c>
      <c r="C39" s="167">
        <f>IF(ISERROR(B39/SUM($B$32,$B$34,$B$35,$B$36,$B$38,$B$39)*100),0,B39/SUM($B$32,$B$34,$B$35,$B$36,$B$38,$B$39)*100)</f>
        <v>9.8027919344116992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2907</v>
      </c>
      <c r="C44" s="34" t="s">
        <v>111</v>
      </c>
      <c r="D44" s="174"/>
    </row>
    <row r="45" spans="1:7">
      <c r="A45" s="171" t="s">
        <v>72</v>
      </c>
      <c r="B45" s="33" t="str">
        <f t="shared" si="0"/>
        <v>-</v>
      </c>
      <c r="C45" s="34" t="s">
        <v>111</v>
      </c>
      <c r="D45" s="174"/>
    </row>
    <row r="46" spans="1:7">
      <c r="A46" s="171" t="s">
        <v>73</v>
      </c>
      <c r="B46" s="33">
        <f t="shared" si="0"/>
        <v>295.73571428571432</v>
      </c>
      <c r="C46" s="34" t="s">
        <v>111</v>
      </c>
      <c r="D46" s="174"/>
    </row>
    <row r="47" spans="1:7">
      <c r="A47" s="171" t="s">
        <v>74</v>
      </c>
      <c r="B47" s="33">
        <f t="shared" si="0"/>
        <v>571.48928571428576</v>
      </c>
      <c r="C47" s="34" t="s">
        <v>111</v>
      </c>
      <c r="D47" s="174"/>
    </row>
    <row r="48" spans="1:7">
      <c r="A48" s="171" t="s">
        <v>75</v>
      </c>
      <c r="B48" s="33">
        <f t="shared" si="0"/>
        <v>251.77500000000001</v>
      </c>
      <c r="C48" s="33">
        <f>B48*10</f>
        <v>2517.75</v>
      </c>
      <c r="D48" s="234"/>
    </row>
    <row r="49" spans="1:6">
      <c r="A49" s="171" t="s">
        <v>76</v>
      </c>
      <c r="B49" s="33" t="str">
        <f t="shared" si="0"/>
        <v>-</v>
      </c>
      <c r="C49" s="34" t="s">
        <v>111</v>
      </c>
      <c r="D49" s="234"/>
    </row>
    <row r="50" spans="1:6">
      <c r="A50" s="171" t="s">
        <v>77</v>
      </c>
      <c r="B50" s="33">
        <f t="shared" si="0"/>
        <v>44.599999999999994</v>
      </c>
      <c r="C50" s="33">
        <f>B50*2</f>
        <v>89.199999999999989</v>
      </c>
      <c r="D50" s="234"/>
    </row>
    <row r="51" spans="1:6">
      <c r="A51" s="171" t="s">
        <v>78</v>
      </c>
      <c r="B51" s="33">
        <f t="shared" si="0"/>
        <v>442.4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13182.475665883001</v>
      </c>
      <c r="C5" s="17">
        <f>IF(ISERROR('Eigen informatie GS &amp; warmtenet'!B58),0,'Eigen informatie GS &amp; warmtenet'!B58)</f>
        <v>0</v>
      </c>
      <c r="D5" s="30">
        <f>SUM(D6:D12)</f>
        <v>13519.346127663201</v>
      </c>
      <c r="E5" s="17">
        <f>SUM(E6:E12)</f>
        <v>255.75079112446633</v>
      </c>
      <c r="F5" s="17">
        <f>SUM(F6:F12)</f>
        <v>3343.929855777671</v>
      </c>
      <c r="G5" s="18"/>
      <c r="H5" s="17"/>
      <c r="I5" s="17"/>
      <c r="J5" s="17">
        <f>SUM(J6:J12)</f>
        <v>0</v>
      </c>
      <c r="K5" s="17"/>
      <c r="L5" s="17"/>
      <c r="M5" s="17"/>
      <c r="N5" s="17">
        <f>SUM(N6:N12)</f>
        <v>1433.2292120115203</v>
      </c>
      <c r="O5" s="17">
        <f>B38*B39*B40</f>
        <v>6.2533333333333339</v>
      </c>
      <c r="P5" s="17">
        <f>B46*B47*B48/1000-B46*B47*B48/1000/B49</f>
        <v>38.133333333333333</v>
      </c>
      <c r="R5" s="32"/>
    </row>
    <row r="6" spans="1:18">
      <c r="A6" s="32" t="s">
        <v>54</v>
      </c>
      <c r="B6" s="37">
        <f>B26</f>
        <v>1111.8207348999999</v>
      </c>
      <c r="C6" s="33"/>
      <c r="D6" s="37">
        <f>IF(ISERROR(TER_kantoor_gas_kWh/1000),0,TER_kantoor_gas_kWh/1000)*0.902</f>
        <v>1366.6309624835999</v>
      </c>
      <c r="E6" s="33">
        <f>$C$26*'E Balans VL '!I12/100/3.6*1000000</f>
        <v>14.555102984394026</v>
      </c>
      <c r="F6" s="33">
        <f>$C$26*('E Balans VL '!L12+'E Balans VL '!N12)/100/3.6*1000000</f>
        <v>283.50279827320071</v>
      </c>
      <c r="G6" s="34"/>
      <c r="H6" s="33"/>
      <c r="I6" s="33"/>
      <c r="J6" s="33">
        <f>$C$26*('E Balans VL '!D12+'E Balans VL '!E12)/100/3.6*1000000</f>
        <v>0</v>
      </c>
      <c r="K6" s="33"/>
      <c r="L6" s="33"/>
      <c r="M6" s="33"/>
      <c r="N6" s="33">
        <f>$C$26*'E Balans VL '!Y12/100/3.6*1000000</f>
        <v>1.1155647316725337</v>
      </c>
      <c r="O6" s="33"/>
      <c r="P6" s="33"/>
      <c r="R6" s="32"/>
    </row>
    <row r="7" spans="1:18">
      <c r="A7" s="32" t="s">
        <v>53</v>
      </c>
      <c r="B7" s="37">
        <f t="shared" ref="B7:B12" si="0">B27</f>
        <v>1175.4963018000001</v>
      </c>
      <c r="C7" s="33"/>
      <c r="D7" s="37">
        <f>IF(ISERROR(TER_horeca_gas_kWh/1000),0,TER_horeca_gas_kWh/1000)*0.902</f>
        <v>2441.3967748082</v>
      </c>
      <c r="E7" s="33">
        <f>$C$27*'E Balans VL '!I9/100/3.6*1000000</f>
        <v>38.901777285439834</v>
      </c>
      <c r="F7" s="33">
        <f>$C$27*('E Balans VL '!L9+'E Balans VL '!N9)/100/3.6*1000000</f>
        <v>505.45890472648307</v>
      </c>
      <c r="G7" s="34"/>
      <c r="H7" s="33"/>
      <c r="I7" s="33"/>
      <c r="J7" s="33">
        <f>$C$27*('E Balans VL '!D9+'E Balans VL '!E9)/100/3.6*1000000</f>
        <v>0</v>
      </c>
      <c r="K7" s="33"/>
      <c r="L7" s="33"/>
      <c r="M7" s="33"/>
      <c r="N7" s="33">
        <f>$C$27*'E Balans VL '!Y9/100/3.6*1000000</f>
        <v>0.28295902992284777</v>
      </c>
      <c r="O7" s="33"/>
      <c r="P7" s="33"/>
      <c r="R7" s="32"/>
    </row>
    <row r="8" spans="1:18">
      <c r="A8" s="6" t="s">
        <v>52</v>
      </c>
      <c r="B8" s="37">
        <f t="shared" si="0"/>
        <v>3127.5484781</v>
      </c>
      <c r="C8" s="33"/>
      <c r="D8" s="37">
        <f>IF(ISERROR(TER_handel_gas_kWh/1000),0,TER_handel_gas_kWh/1000)*0.902</f>
        <v>1385.7631264532001</v>
      </c>
      <c r="E8" s="33">
        <f>$C$28*'E Balans VL '!I13/100/3.6*1000000</f>
        <v>98.710208720663417</v>
      </c>
      <c r="F8" s="33">
        <f>$C$28*('E Balans VL '!L13+'E Balans VL '!N13)/100/3.6*1000000</f>
        <v>613.36732926489231</v>
      </c>
      <c r="G8" s="34"/>
      <c r="H8" s="33"/>
      <c r="I8" s="33"/>
      <c r="J8" s="33">
        <f>$C$28*('E Balans VL '!D13+'E Balans VL '!E13)/100/3.6*1000000</f>
        <v>0</v>
      </c>
      <c r="K8" s="33"/>
      <c r="L8" s="33"/>
      <c r="M8" s="33"/>
      <c r="N8" s="33">
        <f>$C$28*'E Balans VL '!Y13/100/3.6*1000000</f>
        <v>3.7117928374220224</v>
      </c>
      <c r="O8" s="33"/>
      <c r="P8" s="33"/>
      <c r="R8" s="32"/>
    </row>
    <row r="9" spans="1:18">
      <c r="A9" s="32" t="s">
        <v>51</v>
      </c>
      <c r="B9" s="37">
        <f t="shared" si="0"/>
        <v>746.38398795000001</v>
      </c>
      <c r="C9" s="33"/>
      <c r="D9" s="37">
        <f>IF(ISERROR(TER_gezond_gas_kWh/1000),0,TER_gezond_gas_kWh/1000)*0.902</f>
        <v>1764.0674983778001</v>
      </c>
      <c r="E9" s="33">
        <f>$C$29*'E Balans VL '!I10/100/3.6*1000000</f>
        <v>9.5558985436690239E-2</v>
      </c>
      <c r="F9" s="33">
        <f>$C$29*('E Balans VL '!L10+'E Balans VL '!N10)/100/3.6*1000000</f>
        <v>155.50306850987508</v>
      </c>
      <c r="G9" s="34"/>
      <c r="H9" s="33"/>
      <c r="I9" s="33"/>
      <c r="J9" s="33">
        <f>$C$29*('E Balans VL '!D10+'E Balans VL '!E10)/100/3.6*1000000</f>
        <v>0</v>
      </c>
      <c r="K9" s="33"/>
      <c r="L9" s="33"/>
      <c r="M9" s="33"/>
      <c r="N9" s="33">
        <f>$C$29*'E Balans VL '!Y10/100/3.6*1000000</f>
        <v>8.7666327259249499</v>
      </c>
      <c r="O9" s="33"/>
      <c r="P9" s="33"/>
      <c r="R9" s="32"/>
    </row>
    <row r="10" spans="1:18">
      <c r="A10" s="32" t="s">
        <v>50</v>
      </c>
      <c r="B10" s="37">
        <f t="shared" si="0"/>
        <v>1154.7985802000001</v>
      </c>
      <c r="C10" s="33"/>
      <c r="D10" s="37">
        <f>IF(ISERROR(TER_ander_gas_kWh/1000),0,TER_ander_gas_kWh/1000)*0.902</f>
        <v>1270.4089246398</v>
      </c>
      <c r="E10" s="33">
        <f>$C$30*'E Balans VL '!I14/100/3.6*1000000</f>
        <v>1.7365454957337576</v>
      </c>
      <c r="F10" s="33">
        <f>$C$30*('E Balans VL '!L14+'E Balans VL '!N14)/100/3.6*1000000</f>
        <v>254.94230204132552</v>
      </c>
      <c r="G10" s="34"/>
      <c r="H10" s="33"/>
      <c r="I10" s="33"/>
      <c r="J10" s="33">
        <f>$C$30*('E Balans VL '!D14+'E Balans VL '!E14)/100/3.6*1000000</f>
        <v>0</v>
      </c>
      <c r="K10" s="33"/>
      <c r="L10" s="33"/>
      <c r="M10" s="33"/>
      <c r="N10" s="33">
        <f>$C$30*'E Balans VL '!Y14/100/3.6*1000000</f>
        <v>910.05899621189985</v>
      </c>
      <c r="O10" s="33"/>
      <c r="P10" s="33"/>
      <c r="R10" s="32"/>
    </row>
    <row r="11" spans="1:18">
      <c r="A11" s="32" t="s">
        <v>55</v>
      </c>
      <c r="B11" s="37">
        <f t="shared" si="0"/>
        <v>96.919294433000005</v>
      </c>
      <c r="C11" s="33"/>
      <c r="D11" s="37">
        <f>IF(ISERROR(TER_onderwijs_gas_kWh/1000),0,TER_onderwijs_gas_kWh/1000)*0.902</f>
        <v>211.44617197880001</v>
      </c>
      <c r="E11" s="33">
        <f>$C$31*'E Balans VL '!I11/100/3.6*1000000</f>
        <v>0.17068299930531236</v>
      </c>
      <c r="F11" s="33">
        <f>$C$31*('E Balans VL '!L11+'E Balans VL '!N11)/100/3.6*1000000</f>
        <v>44.749391991448306</v>
      </c>
      <c r="G11" s="34"/>
      <c r="H11" s="33"/>
      <c r="I11" s="33"/>
      <c r="J11" s="33">
        <f>$C$31*('E Balans VL '!D11+'E Balans VL '!E11)/100/3.6*1000000</f>
        <v>0</v>
      </c>
      <c r="K11" s="33"/>
      <c r="L11" s="33"/>
      <c r="M11" s="33"/>
      <c r="N11" s="33">
        <f>$C$31*'E Balans VL '!Y11/100/3.6*1000000</f>
        <v>0.18056198580415458</v>
      </c>
      <c r="O11" s="33"/>
      <c r="P11" s="33"/>
      <c r="R11" s="32"/>
    </row>
    <row r="12" spans="1:18">
      <c r="A12" s="32" t="s">
        <v>260</v>
      </c>
      <c r="B12" s="37">
        <f t="shared" si="0"/>
        <v>5769.5082885000002</v>
      </c>
      <c r="C12" s="33"/>
      <c r="D12" s="37">
        <f>IF(ISERROR(TER_rest_gas_kWh/1000),0,TER_rest_gas_kWh/1000)*0.902</f>
        <v>5079.6326689218004</v>
      </c>
      <c r="E12" s="33">
        <f>$C$32*'E Balans VL '!I8/100/3.6*1000000</f>
        <v>101.58091465349327</v>
      </c>
      <c r="F12" s="33">
        <f>$C$32*('E Balans VL '!L8+'E Balans VL '!N8)/100/3.6*1000000</f>
        <v>1486.4060609704463</v>
      </c>
      <c r="G12" s="34"/>
      <c r="H12" s="33"/>
      <c r="I12" s="33"/>
      <c r="J12" s="33">
        <f>$C$32*('E Balans VL '!D8+'E Balans VL '!E8)/100/3.6*1000000</f>
        <v>0</v>
      </c>
      <c r="K12" s="33"/>
      <c r="L12" s="33"/>
      <c r="M12" s="33"/>
      <c r="N12" s="33">
        <f>$C$32*'E Balans VL '!Y8/100/3.6*1000000</f>
        <v>509.11270448887399</v>
      </c>
      <c r="O12" s="33"/>
      <c r="P12" s="33"/>
      <c r="R12" s="32"/>
    </row>
    <row r="13" spans="1:18">
      <c r="A13" s="16" t="s">
        <v>491</v>
      </c>
      <c r="B13" s="247">
        <f ca="1">'lokale energieproductie'!N90+'lokale energieproductie'!N59</f>
        <v>6687</v>
      </c>
      <c r="C13" s="247">
        <f ca="1">'lokale energieproductie'!O90+'lokale energieproductie'!O59</f>
        <v>9552.8571428571431</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-19105.714285714286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19869.475665883001</v>
      </c>
      <c r="C16" s="21">
        <f t="shared" ca="1" si="1"/>
        <v>9552.8571428571431</v>
      </c>
      <c r="D16" s="21">
        <f t="shared" ca="1" si="1"/>
        <v>13519.346127663201</v>
      </c>
      <c r="E16" s="21">
        <f t="shared" si="1"/>
        <v>255.75079112446633</v>
      </c>
      <c r="F16" s="21">
        <f t="shared" ca="1" si="1"/>
        <v>3343.929855777671</v>
      </c>
      <c r="G16" s="21">
        <f t="shared" si="1"/>
        <v>0</v>
      </c>
      <c r="H16" s="21">
        <f t="shared" si="1"/>
        <v>0</v>
      </c>
      <c r="I16" s="21">
        <f t="shared" si="1"/>
        <v>0</v>
      </c>
      <c r="J16" s="21">
        <f t="shared" si="1"/>
        <v>0</v>
      </c>
      <c r="K16" s="21">
        <f t="shared" si="1"/>
        <v>0</v>
      </c>
      <c r="L16" s="21">
        <f t="shared" ca="1" si="1"/>
        <v>0</v>
      </c>
      <c r="M16" s="21">
        <f t="shared" si="1"/>
        <v>0</v>
      </c>
      <c r="N16" s="21">
        <f t="shared" ca="1" si="1"/>
        <v>0</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0.18074581052458538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3591.3244839285489</v>
      </c>
      <c r="C20" s="23">
        <f t="shared" ref="C20:P20" ca="1" si="2">C16*C18</f>
        <v>0</v>
      </c>
      <c r="D20" s="23">
        <f t="shared" ca="1" si="2"/>
        <v>2730.9079177879667</v>
      </c>
      <c r="E20" s="23">
        <f t="shared" si="2"/>
        <v>58.055429585253862</v>
      </c>
      <c r="F20" s="23">
        <f t="shared" ca="1" si="2"/>
        <v>892.82927149263821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1111.8207348999999</v>
      </c>
      <c r="C26" s="39">
        <f>IF(ISERROR(B26*3.6/1000000/'E Balans VL '!Z12*100),0,B26*3.6/1000000/'E Balans VL '!Z12*100)</f>
        <v>2.3816063881453318E-2</v>
      </c>
      <c r="D26" s="237" t="s">
        <v>660</v>
      </c>
      <c r="F26" s="6"/>
    </row>
    <row r="27" spans="1:18">
      <c r="A27" s="231" t="s">
        <v>53</v>
      </c>
      <c r="B27" s="33">
        <f>IF(ISERROR(TER_horeca_ele_kWh/1000),0,TER_horeca_ele_kWh/1000)</f>
        <v>1175.4963018000001</v>
      </c>
      <c r="C27" s="39">
        <f>IF(ISERROR(B27*3.6/1000000/'E Balans VL '!Z9*100),0,B27*3.6/1000000/'E Balans VL '!Z9*100)</f>
        <v>9.4329492236011267E-2</v>
      </c>
      <c r="D27" s="237" t="s">
        <v>660</v>
      </c>
      <c r="F27" s="6"/>
    </row>
    <row r="28" spans="1:18">
      <c r="A28" s="171" t="s">
        <v>52</v>
      </c>
      <c r="B28" s="33">
        <f>IF(ISERROR(TER_handel_ele_kWh/1000),0,TER_handel_ele_kWh/1000)</f>
        <v>3127.5484781</v>
      </c>
      <c r="C28" s="39">
        <f>IF(ISERROR(B28*3.6/1000000/'E Balans VL '!Z13*100),0,B28*3.6/1000000/'E Balans VL '!Z13*100)</f>
        <v>9.2244741201404315E-2</v>
      </c>
      <c r="D28" s="237" t="s">
        <v>660</v>
      </c>
      <c r="F28" s="6"/>
    </row>
    <row r="29" spans="1:18">
      <c r="A29" s="231" t="s">
        <v>51</v>
      </c>
      <c r="B29" s="33">
        <f>IF(ISERROR(TER_gezond_ele_kWh/1000),0,TER_gezond_ele_kWh/1000)</f>
        <v>746.38398795000001</v>
      </c>
      <c r="C29" s="39">
        <f>IF(ISERROR(B29*3.6/1000000/'E Balans VL '!Z10*100),0,B29*3.6/1000000/'E Balans VL '!Z10*100)</f>
        <v>7.9693798607925304E-2</v>
      </c>
      <c r="D29" s="237" t="s">
        <v>660</v>
      </c>
      <c r="F29" s="6"/>
    </row>
    <row r="30" spans="1:18">
      <c r="A30" s="231" t="s">
        <v>50</v>
      </c>
      <c r="B30" s="33">
        <f>IF(ISERROR(TER_ander_ele_kWh/1000),0,TER_ander_ele_kWh/1000)</f>
        <v>1154.7985802000001</v>
      </c>
      <c r="C30" s="39">
        <f>IF(ISERROR(B30*3.6/1000000/'E Balans VL '!Z14*100),0,B30*3.6/1000000/'E Balans VL '!Z14*100)</f>
        <v>8.7226471473615286E-2</v>
      </c>
      <c r="D30" s="237" t="s">
        <v>660</v>
      </c>
      <c r="F30" s="6"/>
    </row>
    <row r="31" spans="1:18">
      <c r="A31" s="231" t="s">
        <v>55</v>
      </c>
      <c r="B31" s="33">
        <f>IF(ISERROR(TER_onderwijs_ele_kWh/1000),0,TER_onderwijs_ele_kWh/1000)</f>
        <v>96.919294433000005</v>
      </c>
      <c r="C31" s="39">
        <f>IF(ISERROR(B31*3.6/1000000/'E Balans VL '!Z11*100),0,B31*3.6/1000000/'E Balans VL '!Z11*100)</f>
        <v>1.9571240962020391E-2</v>
      </c>
      <c r="D31" s="237" t="s">
        <v>660</v>
      </c>
    </row>
    <row r="32" spans="1:18">
      <c r="A32" s="231" t="s">
        <v>260</v>
      </c>
      <c r="B32" s="33">
        <f>IF(ISERROR(TER_rest_ele_kWh/1000),0,TER_rest_ele_kWh/1000)</f>
        <v>5769.5082885000002</v>
      </c>
      <c r="C32" s="39">
        <f>IF(ISERROR(B32*3.6/1000000/'E Balans VL '!Z8*100),0,B32*3.6/1000000/'E Balans VL '!Z8*100)</f>
        <v>4.7837257693998624E-2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19648.286473370998</v>
      </c>
      <c r="C5" s="17">
        <f>IF(ISERROR('Eigen informatie GS &amp; warmtenet'!B59),0,'Eigen informatie GS &amp; warmtenet'!B59)</f>
        <v>0</v>
      </c>
      <c r="D5" s="30">
        <f>SUM(D6:D15)</f>
        <v>16466.116686621601</v>
      </c>
      <c r="E5" s="17">
        <f>SUM(E6:E15)</f>
        <v>1392.0612718080147</v>
      </c>
      <c r="F5" s="17">
        <f>SUM(F6:F15)</f>
        <v>5683.2848393701797</v>
      </c>
      <c r="G5" s="18"/>
      <c r="H5" s="17"/>
      <c r="I5" s="17"/>
      <c r="J5" s="17">
        <f>SUM(J6:J15)</f>
        <v>132.92093558964709</v>
      </c>
      <c r="K5" s="17"/>
      <c r="L5" s="17"/>
      <c r="M5" s="17"/>
      <c r="N5" s="17">
        <f>SUM(N6:N15)</f>
        <v>4028.5449675966283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1235.284719</v>
      </c>
      <c r="C8" s="33"/>
      <c r="D8" s="37">
        <f>IF( ISERROR(IND_metaal_Gas_kWH/1000),0,IND_metaal_Gas_kWH/1000)*0.902</f>
        <v>227.41822123416</v>
      </c>
      <c r="E8" s="33">
        <f>C30*'E Balans VL '!I18/100/3.6*1000000</f>
        <v>44.449281179218048</v>
      </c>
      <c r="F8" s="33">
        <f>C30*'E Balans VL '!L18/100/3.6*1000000+C30*'E Balans VL '!N18/100/3.6*1000000</f>
        <v>539.4087931649982</v>
      </c>
      <c r="G8" s="34"/>
      <c r="H8" s="33"/>
      <c r="I8" s="33"/>
      <c r="J8" s="40">
        <f>C30*'E Balans VL '!D18/100/3.6*1000000+C30*'E Balans VL '!E18/100/3.6*1000000</f>
        <v>0</v>
      </c>
      <c r="K8" s="33"/>
      <c r="L8" s="33"/>
      <c r="M8" s="33"/>
      <c r="N8" s="33">
        <f>C30*'E Balans VL '!Y18/100/3.6*1000000</f>
        <v>61.911630651364071</v>
      </c>
      <c r="O8" s="33"/>
      <c r="P8" s="33"/>
      <c r="R8" s="32"/>
    </row>
    <row r="9" spans="1:18">
      <c r="A9" s="6" t="s">
        <v>33</v>
      </c>
      <c r="B9" s="37">
        <f t="shared" si="0"/>
        <v>1878.0859574999999</v>
      </c>
      <c r="C9" s="33"/>
      <c r="D9" s="37">
        <f>IF( ISERROR(IND_andere_gas_kWh/1000),0,IND_andere_gas_kWh/1000)*0.902</f>
        <v>1008.8606761221999</v>
      </c>
      <c r="E9" s="33">
        <f>C31*'E Balans VL '!I19/100/3.6*1000000</f>
        <v>479.24504346903001</v>
      </c>
      <c r="F9" s="33">
        <f>C31*'E Balans VL '!L19/100/3.6*1000000+C31*'E Balans VL '!N19/100/3.6*1000000</f>
        <v>1616.8908469790106</v>
      </c>
      <c r="G9" s="34"/>
      <c r="H9" s="33"/>
      <c r="I9" s="33"/>
      <c r="J9" s="40">
        <f>C31*'E Balans VL '!D19/100/3.6*1000000+C31*'E Balans VL '!E19/100/3.6*1000000</f>
        <v>0</v>
      </c>
      <c r="K9" s="33"/>
      <c r="L9" s="33"/>
      <c r="M9" s="33"/>
      <c r="N9" s="33">
        <f>C31*'E Balans VL '!Y19/100/3.6*1000000</f>
        <v>587.34179663702957</v>
      </c>
      <c r="O9" s="33"/>
      <c r="P9" s="33"/>
      <c r="R9" s="32"/>
    </row>
    <row r="10" spans="1:18">
      <c r="A10" s="6" t="s">
        <v>41</v>
      </c>
      <c r="B10" s="37">
        <f t="shared" si="0"/>
        <v>179.48504645</v>
      </c>
      <c r="C10" s="33"/>
      <c r="D10" s="37">
        <f>IF( ISERROR(IND_voed_gas_kWh/1000),0,IND_voed_gas_kWh/1000)*0.902</f>
        <v>212.49309395556003</v>
      </c>
      <c r="E10" s="33">
        <f>C32*'E Balans VL '!I20/100/3.6*1000000</f>
        <v>4.5627563339241961</v>
      </c>
      <c r="F10" s="33">
        <f>C32*'E Balans VL '!L20/100/3.6*1000000+C32*'E Balans VL '!N20/100/3.6*1000000</f>
        <v>40.614771708730956</v>
      </c>
      <c r="G10" s="34"/>
      <c r="H10" s="33"/>
      <c r="I10" s="33"/>
      <c r="J10" s="40">
        <f>C32*'E Balans VL '!D20/100/3.6*1000000+C32*'E Balans VL '!E20/100/3.6*1000000</f>
        <v>0</v>
      </c>
      <c r="K10" s="33"/>
      <c r="L10" s="33"/>
      <c r="M10" s="33"/>
      <c r="N10" s="33">
        <f>C32*'E Balans VL '!Y20/100/3.6*1000000</f>
        <v>67.311757552297522</v>
      </c>
      <c r="O10" s="33"/>
      <c r="P10" s="33"/>
      <c r="R10" s="32"/>
    </row>
    <row r="11" spans="1:18">
      <c r="A11" s="6" t="s">
        <v>40</v>
      </c>
      <c r="B11" s="37">
        <f t="shared" si="0"/>
        <v>403.59114111000002</v>
      </c>
      <c r="C11" s="33"/>
      <c r="D11" s="37">
        <f>IF( ISERROR(IND_textiel_gas_kWh/1000),0,IND_textiel_gas_kWh/1000)*0.902</f>
        <v>0</v>
      </c>
      <c r="E11" s="33">
        <f>C33*'E Balans VL '!I21/100/3.6*1000000</f>
        <v>1.1079662172269271</v>
      </c>
      <c r="F11" s="33">
        <f>C33*'E Balans VL '!L21/100/3.6*1000000+C33*'E Balans VL '!N21/100/3.6*1000000</f>
        <v>21.396720320637304</v>
      </c>
      <c r="G11" s="34"/>
      <c r="H11" s="33"/>
      <c r="I11" s="33"/>
      <c r="J11" s="40">
        <f>C33*'E Balans VL '!D21/100/3.6*1000000+C33*'E Balans VL '!E21/100/3.6*1000000</f>
        <v>0</v>
      </c>
      <c r="K11" s="33"/>
      <c r="L11" s="33"/>
      <c r="M11" s="33"/>
      <c r="N11" s="33">
        <f>C33*'E Balans VL '!Y21/100/3.6*1000000</f>
        <v>0.81115140631720695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61.143569311</v>
      </c>
      <c r="C13" s="33"/>
      <c r="D13" s="37">
        <f>IF( ISERROR(IND_papier_gas_kWh/1000),0,IND_papier_gas_kWh/1000)*0.902</f>
        <v>71.760771995681992</v>
      </c>
      <c r="E13" s="33">
        <f>C35*'E Balans VL '!I23/100/3.6*1000000</f>
        <v>0.2622269810232154</v>
      </c>
      <c r="F13" s="33">
        <f>C35*'E Balans VL '!L23/100/3.6*1000000+C35*'E Balans VL '!N23/100/3.6*1000000</f>
        <v>1.5367276743433236</v>
      </c>
      <c r="G13" s="34"/>
      <c r="H13" s="33"/>
      <c r="I13" s="33"/>
      <c r="J13" s="40">
        <f>C35*'E Balans VL '!D23/100/3.6*1000000+C35*'E Balans VL '!E23/100/3.6*1000000</f>
        <v>4.0932266066890799</v>
      </c>
      <c r="K13" s="33"/>
      <c r="L13" s="33"/>
      <c r="M13" s="33"/>
      <c r="N13" s="33">
        <f>C35*'E Balans VL '!Y23/100/3.6*1000000</f>
        <v>111.29583664155649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15890.696039999999</v>
      </c>
      <c r="C15" s="33"/>
      <c r="D15" s="37">
        <f>IF( ISERROR(IND_rest_gas_kWh/1000),0,IND_rest_gas_kWh/1000)*0.902</f>
        <v>14945.583923314</v>
      </c>
      <c r="E15" s="33">
        <f>C37*'E Balans VL '!I15/100/3.6*1000000</f>
        <v>862.43399762759236</v>
      </c>
      <c r="F15" s="33">
        <f>C37*'E Balans VL '!L15/100/3.6*1000000+C37*'E Balans VL '!N15/100/3.6*1000000</f>
        <v>3463.4369795224598</v>
      </c>
      <c r="G15" s="34"/>
      <c r="H15" s="33"/>
      <c r="I15" s="33"/>
      <c r="J15" s="40">
        <f>C37*'E Balans VL '!D15/100/3.6*1000000+C37*'E Balans VL '!E15/100/3.6*1000000</f>
        <v>128.827708982958</v>
      </c>
      <c r="K15" s="33"/>
      <c r="L15" s="33"/>
      <c r="M15" s="33"/>
      <c r="N15" s="33">
        <f>C37*'E Balans VL '!Y15/100/3.6*1000000</f>
        <v>3199.8727947080633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19648.286473370998</v>
      </c>
      <c r="C18" s="21">
        <f>C5+C16</f>
        <v>0</v>
      </c>
      <c r="D18" s="21">
        <f>MAX((D5+D16),0)</f>
        <v>16466.116686621601</v>
      </c>
      <c r="E18" s="21">
        <f>MAX((E5+E16),0)</f>
        <v>1392.0612718080147</v>
      </c>
      <c r="F18" s="21">
        <f>MAX((F5+F16),0)</f>
        <v>5683.2848393701797</v>
      </c>
      <c r="G18" s="21"/>
      <c r="H18" s="21"/>
      <c r="I18" s="21"/>
      <c r="J18" s="21">
        <f>MAX((J5+J16),0)</f>
        <v>132.92093558964709</v>
      </c>
      <c r="K18" s="21"/>
      <c r="L18" s="21">
        <f>MAX((L5+L16),0)</f>
        <v>0</v>
      </c>
      <c r="M18" s="21"/>
      <c r="N18" s="21">
        <f>MAX((N5+N16),0)</f>
        <v>4028.5449675966283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0.18074581052458538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3551.3454640486884</v>
      </c>
      <c r="C22" s="23">
        <f ca="1">C18*C20</f>
        <v>0</v>
      </c>
      <c r="D22" s="23">
        <f>D18*D20</f>
        <v>3326.1555706975637</v>
      </c>
      <c r="E22" s="23">
        <f>E18*E20</f>
        <v>315.99790870041932</v>
      </c>
      <c r="F22" s="23">
        <f>F18*F20</f>
        <v>1517.4370521118381</v>
      </c>
      <c r="G22" s="23"/>
      <c r="H22" s="23"/>
      <c r="I22" s="23"/>
      <c r="J22" s="23">
        <f>J18*J20</f>
        <v>47.054011198735068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1235.284719</v>
      </c>
      <c r="C30" s="39">
        <f>IF(ISERROR(B30*3.6/1000000/'E Balans VL '!Z18*100),0,B30*3.6/1000000/'E Balans VL '!Z18*100)</f>
        <v>0.26173034814971974</v>
      </c>
      <c r="D30" s="237" t="s">
        <v>660</v>
      </c>
    </row>
    <row r="31" spans="1:18">
      <c r="A31" s="6" t="s">
        <v>33</v>
      </c>
      <c r="B31" s="37">
        <f>IF( ISERROR(IND_ander_ele_kWh/1000),0,IND_ander_ele_kWh/1000)</f>
        <v>1878.0859574999999</v>
      </c>
      <c r="C31" s="39">
        <f>IF(ISERROR(B31*3.6/1000000/'E Balans VL '!Z19*100),0,B31*3.6/1000000/'E Balans VL '!Z19*100)</f>
        <v>7.905290245548148E-2</v>
      </c>
      <c r="D31" s="237" t="s">
        <v>660</v>
      </c>
    </row>
    <row r="32" spans="1:18">
      <c r="A32" s="171" t="s">
        <v>41</v>
      </c>
      <c r="B32" s="37">
        <f>IF( ISERROR(IND_voed_ele_kWh/1000),0,IND_voed_ele_kWh/1000)</f>
        <v>179.48504645</v>
      </c>
      <c r="C32" s="39">
        <f>IF(ISERROR(B32*3.6/1000000/'E Balans VL '!Z20*100),0,B32*3.6/1000000/'E Balans VL '!Z20*100)</f>
        <v>2.9985007743105977E-2</v>
      </c>
      <c r="D32" s="237" t="s">
        <v>660</v>
      </c>
    </row>
    <row r="33" spans="1:5">
      <c r="A33" s="171" t="s">
        <v>40</v>
      </c>
      <c r="B33" s="37">
        <f>IF( ISERROR(IND_textiel_ele_kWh/1000),0,IND_textiel_ele_kWh/1000)</f>
        <v>403.59114111000002</v>
      </c>
      <c r="C33" s="39">
        <f>IF(ISERROR(B33*3.6/1000000/'E Balans VL '!Z21*100),0,B33*3.6/1000000/'E Balans VL '!Z21*100)</f>
        <v>2.3562858571305939E-2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61.143569311</v>
      </c>
      <c r="C35" s="39">
        <f>IF(ISERROR(B35*3.6/1000000/'E Balans VL '!Z22*100),0,B35*3.6/1000000/'E Balans VL '!Z22*100)</f>
        <v>7.7502771564646501E-3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15890.696039999999</v>
      </c>
      <c r="C37" s="39">
        <f>IF(ISERROR(B37*3.6/1000000/'E Balans VL '!Z15*100),0,B37*3.6/1000000/'E Balans VL '!Z15*100)</f>
        <v>0.12829174229044901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2287.3108914700001</v>
      </c>
      <c r="C5" s="17">
        <f>'Eigen informatie GS &amp; warmtenet'!B60</f>
        <v>0</v>
      </c>
      <c r="D5" s="30">
        <f>IF(ISERROR(SUM(LB_lb_gas_kWh,LB_rest_gas_kWh,onbekend_gas_kWh)/1000),0,SUM(LB_lb_gas_kWh,LB_rest_gas_kWh,onbekend_gas_kWh)/1000)*0.902</f>
        <v>1444.1552386720359</v>
      </c>
      <c r="E5" s="17">
        <f>B17*'E Balans VL '!I25/3.6*1000000/100</f>
        <v>58.980965632546742</v>
      </c>
      <c r="F5" s="17">
        <f>B17*('E Balans VL '!L25/3.6*1000000+'E Balans VL '!N25/3.6*1000000)/100</f>
        <v>8360.556905522064</v>
      </c>
      <c r="G5" s="18"/>
      <c r="H5" s="17"/>
      <c r="I5" s="17"/>
      <c r="J5" s="17">
        <f>('E Balans VL '!D25+'E Balans VL '!E25)/3.6*1000000*landbouw!B17/100</f>
        <v>329.28862585029367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2287.3108914700001</v>
      </c>
      <c r="C8" s="21">
        <f>C5+C6</f>
        <v>0</v>
      </c>
      <c r="D8" s="21">
        <f>MAX((D5+D6),0)</f>
        <v>1444.1552386720359</v>
      </c>
      <c r="E8" s="21">
        <f>MAX((E5+E6),0)</f>
        <v>58.980965632546742</v>
      </c>
      <c r="F8" s="21">
        <f>MAX((F5+F6),0)</f>
        <v>8360.556905522064</v>
      </c>
      <c r="G8" s="21"/>
      <c r="H8" s="21"/>
      <c r="I8" s="21"/>
      <c r="J8" s="21">
        <f>MAX((J5+J6),0)</f>
        <v>329.28862585029367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0.18074581052458538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413.42186100045711</v>
      </c>
      <c r="C12" s="23">
        <f ca="1">C8*C10</f>
        <v>0</v>
      </c>
      <c r="D12" s="23">
        <f>D8*D10</f>
        <v>291.71935821175128</v>
      </c>
      <c r="E12" s="23">
        <f>E8*E10</f>
        <v>13.388679198588111</v>
      </c>
      <c r="F12" s="23">
        <f>F8*F10</f>
        <v>2232.2686937743911</v>
      </c>
      <c r="G12" s="23"/>
      <c r="H12" s="23"/>
      <c r="I12" s="23"/>
      <c r="J12" s="23">
        <f>J8*J10</f>
        <v>116.56817355100395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0.32252598650489051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320.67133200181235</v>
      </c>
      <c r="C26" s="247">
        <f>B26*'GWP N2O_CH4'!B5</f>
        <v>6734.0979720380592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224.46380428004747</v>
      </c>
      <c r="C27" s="247">
        <f>B27*'GWP N2O_CH4'!B5</f>
        <v>4713.739889880997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4.6313961058103859</v>
      </c>
      <c r="C28" s="247">
        <f>B28*'GWP N2O_CH4'!B4</f>
        <v>1435.7327928012196</v>
      </c>
      <c r="D28" s="50"/>
    </row>
    <row r="29" spans="1:4">
      <c r="A29" s="41" t="s">
        <v>277</v>
      </c>
      <c r="B29" s="247">
        <f>B34*'ha_N2O bodem landbouw'!B4</f>
        <v>16.604456085304673</v>
      </c>
      <c r="C29" s="247">
        <f>B29*'GWP N2O_CH4'!B4</f>
        <v>5147.3813864444483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3.7369049315849486E-3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2.9595084807249097E-5</v>
      </c>
      <c r="C5" s="463" t="s">
        <v>211</v>
      </c>
      <c r="D5" s="448">
        <f>SUM(D6:D11)</f>
        <v>9.4479235982625626E-5</v>
      </c>
      <c r="E5" s="448">
        <f>SUM(E6:E11)</f>
        <v>3.4756083719229716E-4</v>
      </c>
      <c r="F5" s="461" t="s">
        <v>211</v>
      </c>
      <c r="G5" s="448">
        <f>SUM(G6:G11)</f>
        <v>0.10400234293794162</v>
      </c>
      <c r="H5" s="448">
        <f>SUM(H6:H11)</f>
        <v>2.4913059068644963E-2</v>
      </c>
      <c r="I5" s="463" t="s">
        <v>211</v>
      </c>
      <c r="J5" s="463" t="s">
        <v>211</v>
      </c>
      <c r="K5" s="463" t="s">
        <v>211</v>
      </c>
      <c r="L5" s="463" t="s">
        <v>211</v>
      </c>
      <c r="M5" s="448">
        <f>SUM(M6:M11)</f>
        <v>4.0231700103062597E-3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6.2984844935279153E-6</v>
      </c>
      <c r="C6" s="449"/>
      <c r="D6" s="962">
        <f>vkm_2011_GW_PW*SUMIFS(TableVerdeelsleutelVkm[CNG],TableVerdeelsleutelVkm[Voertuigtype],"Lichte voertuigen")*SUMIFS(TableECFTransport[EnergieConsumptieFactor (PJ per km)],TableECFTransport[Index],CONCATENATE($A6,"_CNG_CNG"))</f>
        <v>1.2515199016260651E-5</v>
      </c>
      <c r="E6" s="962">
        <f>vkm_2011_GW_PW*SUMIFS(TableVerdeelsleutelVkm[LPG],TableVerdeelsleutelVkm[Voertuigtype],"Lichte voertuigen")*SUMIFS(TableECFTransport[EnergieConsumptieFactor (PJ per km)],TableECFTransport[Index],CONCATENATE($A6,"_LPG_LPG"))</f>
        <v>4.925179449151522E-5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1.1710386802470772E-2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3.3882408851402882E-3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4.70487181022619E-4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5.533129275113147E-3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1.7874370952219006E-6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1.7434043735014215E-4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2.3296600313721183E-5</v>
      </c>
      <c r="C8" s="449"/>
      <c r="D8" s="451">
        <f>vkm_2011_NGW_PW*SUMIFS(TableVerdeelsleutelVkm[CNG],TableVerdeelsleutelVkm[Voertuigtype],"Lichte voertuigen")*SUMIFS(TableECFTransport[EnergieConsumptieFactor (PJ per km)],TableECFTransport[Index],CONCATENATE($A8,"_CNG_CNG"))</f>
        <v>8.1964036966364977E-5</v>
      </c>
      <c r="E8" s="451">
        <f>vkm_2011_NGW_PW*SUMIFS(TableVerdeelsleutelVkm[LPG],TableVerdeelsleutelVkm[Voertuigtype],"Lichte voertuigen")*SUMIFS(TableECFTransport[EnergieConsumptieFactor (PJ per km)],TableECFTransport[Index],CONCATENATE($A8,"_LPG_LPG"))</f>
        <v>2.9830904270078195E-4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6.6232993252071007E-2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2.1516759930201416E-2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2.7316155757283606E-3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2.0525833608286706E-2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6.270816208037192E-6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6.4672681620513779E-4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8.2208568909025281</v>
      </c>
      <c r="C14" s="21"/>
      <c r="D14" s="21">
        <f t="shared" ref="D14:M14" si="0">((D5)*10^9/3600)+D12</f>
        <v>26.244232217396007</v>
      </c>
      <c r="E14" s="21">
        <f t="shared" si="0"/>
        <v>96.544676997860321</v>
      </c>
      <c r="F14" s="21"/>
      <c r="G14" s="21">
        <f t="shared" si="0"/>
        <v>28889.539704983785</v>
      </c>
      <c r="H14" s="21">
        <f t="shared" si="0"/>
        <v>6920.2941857347123</v>
      </c>
      <c r="I14" s="21"/>
      <c r="J14" s="21"/>
      <c r="K14" s="21"/>
      <c r="L14" s="21"/>
      <c r="M14" s="21">
        <f t="shared" si="0"/>
        <v>1117.5472250850721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0.18074581052458538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1.4858854419528005</v>
      </c>
      <c r="C18" s="23"/>
      <c r="D18" s="23">
        <f t="shared" ref="D18:M18" si="1">D14*D16</f>
        <v>5.3013349079139935</v>
      </c>
      <c r="E18" s="23">
        <f t="shared" si="1"/>
        <v>21.915641678514294</v>
      </c>
      <c r="F18" s="23"/>
      <c r="G18" s="23">
        <f t="shared" si="1"/>
        <v>7713.5071012306707</v>
      </c>
      <c r="H18" s="23">
        <f t="shared" si="1"/>
        <v>1723.1532522479433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4.3874498680443377E-3</v>
      </c>
      <c r="H50" s="321">
        <f t="shared" si="2"/>
        <v>0</v>
      </c>
      <c r="I50" s="321">
        <f t="shared" si="2"/>
        <v>0</v>
      </c>
      <c r="J50" s="321">
        <f t="shared" si="2"/>
        <v>0</v>
      </c>
      <c r="K50" s="321">
        <f t="shared" si="2"/>
        <v>0</v>
      </c>
      <c r="L50" s="321">
        <f t="shared" si="2"/>
        <v>0</v>
      </c>
      <c r="M50" s="321">
        <f t="shared" si="2"/>
        <v>1.3608887938247797E-4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4.3874498680443377E-3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1.3608887938247797E-4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1218.7360744567604</v>
      </c>
      <c r="H54" s="21">
        <f t="shared" si="3"/>
        <v>0</v>
      </c>
      <c r="I54" s="21">
        <f t="shared" si="3"/>
        <v>0</v>
      </c>
      <c r="J54" s="21">
        <f t="shared" si="3"/>
        <v>0</v>
      </c>
      <c r="K54" s="21">
        <f t="shared" si="3"/>
        <v>0</v>
      </c>
      <c r="L54" s="21">
        <f t="shared" si="3"/>
        <v>0</v>
      </c>
      <c r="M54" s="21">
        <f t="shared" si="3"/>
        <v>37.802466495132762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0.18074581052458538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325.40253187995506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4418.4466402965072</v>
      </c>
      <c r="C6" s="1203"/>
      <c r="D6" s="1188"/>
      <c r="E6" s="1188"/>
      <c r="F6" s="1206"/>
      <c r="G6" s="1209"/>
      <c r="H6" s="1200"/>
      <c r="I6" s="1188"/>
      <c r="J6" s="1188"/>
      <c r="K6" s="1188"/>
      <c r="L6" s="1192"/>
      <c r="M6" s="575"/>
      <c r="N6" s="1166"/>
      <c r="O6" s="1167"/>
      <c r="Q6" s="573"/>
      <c r="R6" s="1154"/>
      <c r="S6" s="1154"/>
    </row>
    <row r="7" spans="1:19" s="563" customFormat="1">
      <c r="A7" s="576" t="s">
        <v>252</v>
      </c>
      <c r="B7" s="577">
        <f>N57</f>
        <v>6687</v>
      </c>
      <c r="C7" s="578">
        <f>B100</f>
        <v>0</v>
      </c>
      <c r="D7" s="579"/>
      <c r="E7" s="579">
        <f>E100</f>
        <v>0</v>
      </c>
      <c r="F7" s="580"/>
      <c r="G7" s="581"/>
      <c r="H7" s="579">
        <f>I100</f>
        <v>0</v>
      </c>
      <c r="I7" s="579">
        <f>G100+F100</f>
        <v>0</v>
      </c>
      <c r="J7" s="579">
        <f>H100+D100+C100</f>
        <v>7867.0588235294117</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11105.446640296508</v>
      </c>
      <c r="C9" s="594">
        <f t="shared" ref="C9:L9" si="0">SUM(C7:C8)</f>
        <v>0</v>
      </c>
      <c r="D9" s="594">
        <f t="shared" si="0"/>
        <v>0</v>
      </c>
      <c r="E9" s="594">
        <f t="shared" si="0"/>
        <v>0</v>
      </c>
      <c r="F9" s="594">
        <f t="shared" si="0"/>
        <v>0</v>
      </c>
      <c r="G9" s="594">
        <f t="shared" si="0"/>
        <v>0</v>
      </c>
      <c r="H9" s="594">
        <f t="shared" si="0"/>
        <v>0</v>
      </c>
      <c r="I9" s="594">
        <f t="shared" si="0"/>
        <v>0</v>
      </c>
      <c r="J9" s="594">
        <f t="shared" si="0"/>
        <v>7867.0588235294117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9552.8571428571431</v>
      </c>
      <c r="C16" s="610">
        <f>B101</f>
        <v>0</v>
      </c>
      <c r="D16" s="611"/>
      <c r="E16" s="611">
        <f>E101</f>
        <v>0</v>
      </c>
      <c r="F16" s="612"/>
      <c r="G16" s="613"/>
      <c r="H16" s="610">
        <f>I101</f>
        <v>0</v>
      </c>
      <c r="I16" s="611">
        <f>G101+F101</f>
        <v>0</v>
      </c>
      <c r="J16" s="611">
        <f>H101+D101+C101</f>
        <v>11238.655462184875</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9552.8571428571431</v>
      </c>
      <c r="C19" s="593">
        <f>SUM(C16:C18)</f>
        <v>0</v>
      </c>
      <c r="D19" s="593">
        <f t="shared" ref="D19:M19" si="1">SUM(D16:D18)</f>
        <v>0</v>
      </c>
      <c r="E19" s="593">
        <f t="shared" si="1"/>
        <v>0</v>
      </c>
      <c r="F19" s="593">
        <f t="shared" si="1"/>
        <v>0</v>
      </c>
      <c r="G19" s="593">
        <f t="shared" si="1"/>
        <v>0</v>
      </c>
      <c r="H19" s="593">
        <f t="shared" si="1"/>
        <v>0</v>
      </c>
      <c r="I19" s="593">
        <f t="shared" si="1"/>
        <v>0</v>
      </c>
      <c r="J19" s="593">
        <f t="shared" si="1"/>
        <v>11238.655462184875</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36012</v>
      </c>
      <c r="C27" s="851">
        <v>8890</v>
      </c>
      <c r="D27" s="672" t="s">
        <v>818</v>
      </c>
      <c r="E27" s="671" t="s">
        <v>819</v>
      </c>
      <c r="F27" s="671" t="s">
        <v>820</v>
      </c>
      <c r="G27" s="671" t="s">
        <v>821</v>
      </c>
      <c r="H27" s="671" t="s">
        <v>822</v>
      </c>
      <c r="I27" s="671" t="s">
        <v>823</v>
      </c>
      <c r="J27" s="850">
        <v>40634</v>
      </c>
      <c r="K27" s="850">
        <v>40634</v>
      </c>
      <c r="L27" s="671" t="s">
        <v>824</v>
      </c>
      <c r="M27" s="671">
        <v>1486</v>
      </c>
      <c r="N27" s="671">
        <v>6687</v>
      </c>
      <c r="O27" s="671">
        <v>9552.8571428571431</v>
      </c>
      <c r="P27" s="671">
        <v>0</v>
      </c>
      <c r="Q27" s="671">
        <v>19105.714285714286</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1486</v>
      </c>
      <c r="N57" s="629">
        <f>SUM(N27:N56)</f>
        <v>6687</v>
      </c>
      <c r="O57" s="629">
        <f t="shared" ref="O57:W57" si="2">SUM(O27:O56)</f>
        <v>9552.8571428571431</v>
      </c>
      <c r="P57" s="629">
        <f t="shared" si="2"/>
        <v>0</v>
      </c>
      <c r="Q57" s="629">
        <f t="shared" si="2"/>
        <v>19105.714285714286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1486</v>
      </c>
      <c r="N59" s="629">
        <f ca="1">SUMIF($Z$27:AB56,"tertiair",N27:N56)</f>
        <v>6687</v>
      </c>
      <c r="O59" s="629">
        <f ca="1">SUMIF($Z$27:AC56,"tertiair",O27:O56)</f>
        <v>9552.8571428571431</v>
      </c>
      <c r="P59" s="629">
        <f ca="1">SUMIF($Z$27:AD56,"tertiair",P27:P56)</f>
        <v>0</v>
      </c>
      <c r="Q59" s="629">
        <f ca="1">SUMIF($Z$27:AE56,"tertiair",Q27:Q56)</f>
        <v>19105.714285714286</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7867.0588235294117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11238.655462184875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20874.111665883</v>
      </c>
      <c r="D10" s="718">
        <f ca="1">tertiair!C16</f>
        <v>9552.8571428571431</v>
      </c>
      <c r="E10" s="718">
        <f ca="1">tertiair!D16</f>
        <v>13519.346127663201</v>
      </c>
      <c r="F10" s="718">
        <f>tertiair!E16</f>
        <v>255.75079112446633</v>
      </c>
      <c r="G10" s="718">
        <f ca="1">tertiair!F16</f>
        <v>3343.929855777671</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6.2533333333333339</v>
      </c>
      <c r="Q10" s="719">
        <f>tertiair!P16</f>
        <v>38.133333333333333</v>
      </c>
      <c r="R10" s="721">
        <f ca="1">SUM(C10:Q10)</f>
        <v>47590.38224997215</v>
      </c>
      <c r="S10" s="67"/>
    </row>
    <row r="11" spans="1:19" s="474" customFormat="1">
      <c r="A11" s="870" t="s">
        <v>225</v>
      </c>
      <c r="B11" s="875"/>
      <c r="C11" s="718">
        <f>huishoudens!B8</f>
        <v>18152.213580420979</v>
      </c>
      <c r="D11" s="718">
        <f>huishoudens!C8</f>
        <v>0</v>
      </c>
      <c r="E11" s="718">
        <f>huishoudens!D8</f>
        <v>38777.349803764002</v>
      </c>
      <c r="F11" s="718">
        <f>huishoudens!E8</f>
        <v>6688.9172018563731</v>
      </c>
      <c r="G11" s="718">
        <f>huishoudens!F8</f>
        <v>10768.968990757779</v>
      </c>
      <c r="H11" s="718">
        <f>huishoudens!G8</f>
        <v>0</v>
      </c>
      <c r="I11" s="718">
        <f>huishoudens!H8</f>
        <v>0</v>
      </c>
      <c r="J11" s="718">
        <f>huishoudens!I8</f>
        <v>0</v>
      </c>
      <c r="K11" s="718">
        <f>huishoudens!J8</f>
        <v>1380.5742733931284</v>
      </c>
      <c r="L11" s="718">
        <f>huishoudens!K8</f>
        <v>0</v>
      </c>
      <c r="M11" s="718">
        <f>huishoudens!L8</f>
        <v>0</v>
      </c>
      <c r="N11" s="718">
        <f>huishoudens!M8</f>
        <v>0</v>
      </c>
      <c r="O11" s="718">
        <f>huishoudens!N8</f>
        <v>16173.092723882073</v>
      </c>
      <c r="P11" s="718">
        <f>huishoudens!O8</f>
        <v>276.70999999999998</v>
      </c>
      <c r="Q11" s="719">
        <f>huishoudens!P8</f>
        <v>438.5333333333333</v>
      </c>
      <c r="R11" s="721">
        <f>SUM(C11:Q11)</f>
        <v>92656.359907407677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19648.286473370998</v>
      </c>
      <c r="D13" s="718">
        <f>industrie!C18</f>
        <v>0</v>
      </c>
      <c r="E13" s="718">
        <f>industrie!D18</f>
        <v>16466.116686621601</v>
      </c>
      <c r="F13" s="718">
        <f>industrie!E18</f>
        <v>1392.0612718080147</v>
      </c>
      <c r="G13" s="718">
        <f>industrie!F18</f>
        <v>5683.2848393701797</v>
      </c>
      <c r="H13" s="718">
        <f>industrie!G18</f>
        <v>0</v>
      </c>
      <c r="I13" s="718">
        <f>industrie!H18</f>
        <v>0</v>
      </c>
      <c r="J13" s="718">
        <f>industrie!I18</f>
        <v>0</v>
      </c>
      <c r="K13" s="718">
        <f>industrie!J18</f>
        <v>132.92093558964709</v>
      </c>
      <c r="L13" s="718">
        <f>industrie!K18</f>
        <v>0</v>
      </c>
      <c r="M13" s="718">
        <f>industrie!L18</f>
        <v>0</v>
      </c>
      <c r="N13" s="718">
        <f>industrie!M18</f>
        <v>0</v>
      </c>
      <c r="O13" s="718">
        <f>industrie!N18</f>
        <v>4028.5449675966283</v>
      </c>
      <c r="P13" s="718">
        <f>industrie!O18</f>
        <v>0</v>
      </c>
      <c r="Q13" s="719">
        <f>industrie!P18</f>
        <v>0</v>
      </c>
      <c r="R13" s="721">
        <f>SUM(C13:Q13)</f>
        <v>47351.215174357065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58674.611719674984</v>
      </c>
      <c r="D15" s="723">
        <f t="shared" ref="D15:Q15" ca="1" si="0">SUM(D9:D14)</f>
        <v>9552.8571428571431</v>
      </c>
      <c r="E15" s="723">
        <f t="shared" ca="1" si="0"/>
        <v>68762.812618048803</v>
      </c>
      <c r="F15" s="723">
        <f t="shared" si="0"/>
        <v>8336.7292647888535</v>
      </c>
      <c r="G15" s="723">
        <f t="shared" ca="1" si="0"/>
        <v>19796.183685905631</v>
      </c>
      <c r="H15" s="723">
        <f t="shared" si="0"/>
        <v>0</v>
      </c>
      <c r="I15" s="723">
        <f t="shared" si="0"/>
        <v>0</v>
      </c>
      <c r="J15" s="723">
        <f t="shared" si="0"/>
        <v>0</v>
      </c>
      <c r="K15" s="723">
        <f t="shared" si="0"/>
        <v>1513.4952089827755</v>
      </c>
      <c r="L15" s="723">
        <f t="shared" si="0"/>
        <v>0</v>
      </c>
      <c r="M15" s="723">
        <f t="shared" ca="1" si="0"/>
        <v>0</v>
      </c>
      <c r="N15" s="723">
        <f t="shared" si="0"/>
        <v>0</v>
      </c>
      <c r="O15" s="723">
        <f t="shared" ca="1" si="0"/>
        <v>20201.637691478703</v>
      </c>
      <c r="P15" s="723">
        <f t="shared" si="0"/>
        <v>282.96333333333331</v>
      </c>
      <c r="Q15" s="724">
        <f t="shared" si="0"/>
        <v>476.66666666666663</v>
      </c>
      <c r="R15" s="725">
        <f ca="1">SUM(R9:R14)</f>
        <v>187597.95733173689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1218.7360744567604</v>
      </c>
      <c r="I18" s="718">
        <f>transport!H54</f>
        <v>0</v>
      </c>
      <c r="J18" s="718">
        <f>transport!I54</f>
        <v>0</v>
      </c>
      <c r="K18" s="718">
        <f>transport!J54</f>
        <v>0</v>
      </c>
      <c r="L18" s="718">
        <f>transport!K54</f>
        <v>0</v>
      </c>
      <c r="M18" s="718">
        <f>transport!L54</f>
        <v>0</v>
      </c>
      <c r="N18" s="718">
        <f>transport!M54</f>
        <v>37.802466495132762</v>
      </c>
      <c r="O18" s="718">
        <f>transport!N54</f>
        <v>0</v>
      </c>
      <c r="P18" s="718">
        <f>transport!O54</f>
        <v>0</v>
      </c>
      <c r="Q18" s="719">
        <f>transport!P54</f>
        <v>0</v>
      </c>
      <c r="R18" s="721">
        <f>SUM(C18:Q18)</f>
        <v>1256.5385409518931</v>
      </c>
      <c r="S18" s="67"/>
    </row>
    <row r="19" spans="1:19" s="474" customFormat="1" ht="15" thickBot="1">
      <c r="A19" s="870" t="s">
        <v>307</v>
      </c>
      <c r="B19" s="875"/>
      <c r="C19" s="727">
        <f>transport!B14</f>
        <v>8.2208568909025281</v>
      </c>
      <c r="D19" s="727">
        <f>transport!C14</f>
        <v>0</v>
      </c>
      <c r="E19" s="727">
        <f>transport!D14</f>
        <v>26.244232217396007</v>
      </c>
      <c r="F19" s="727">
        <f>transport!E14</f>
        <v>96.544676997860321</v>
      </c>
      <c r="G19" s="727">
        <f>transport!F14</f>
        <v>0</v>
      </c>
      <c r="H19" s="727">
        <f>transport!G14</f>
        <v>28889.539704983785</v>
      </c>
      <c r="I19" s="727">
        <f>transport!H14</f>
        <v>6920.2941857347123</v>
      </c>
      <c r="J19" s="727">
        <f>transport!I14</f>
        <v>0</v>
      </c>
      <c r="K19" s="727">
        <f>transport!J14</f>
        <v>0</v>
      </c>
      <c r="L19" s="727">
        <f>transport!K14</f>
        <v>0</v>
      </c>
      <c r="M19" s="727">
        <f>transport!L14</f>
        <v>0</v>
      </c>
      <c r="N19" s="727">
        <f>transport!M14</f>
        <v>1117.5472250850721</v>
      </c>
      <c r="O19" s="727">
        <f>transport!N14</f>
        <v>0</v>
      </c>
      <c r="P19" s="727">
        <f>transport!O14</f>
        <v>0</v>
      </c>
      <c r="Q19" s="728">
        <f>transport!P14</f>
        <v>0</v>
      </c>
      <c r="R19" s="729">
        <f>SUM(C19:Q19)</f>
        <v>37058.390881909727</v>
      </c>
      <c r="S19" s="67"/>
    </row>
    <row r="20" spans="1:19" s="474" customFormat="1" ht="15.75" thickBot="1">
      <c r="A20" s="730" t="s">
        <v>230</v>
      </c>
      <c r="B20" s="878"/>
      <c r="C20" s="873">
        <f>SUM(C17:C19)</f>
        <v>8.2208568909025281</v>
      </c>
      <c r="D20" s="731">
        <f t="shared" ref="D20:R20" si="1">SUM(D17:D19)</f>
        <v>0</v>
      </c>
      <c r="E20" s="731">
        <f t="shared" si="1"/>
        <v>26.244232217396007</v>
      </c>
      <c r="F20" s="731">
        <f t="shared" si="1"/>
        <v>96.544676997860321</v>
      </c>
      <c r="G20" s="731">
        <f t="shared" si="1"/>
        <v>0</v>
      </c>
      <c r="H20" s="731">
        <f t="shared" si="1"/>
        <v>30108.275779440544</v>
      </c>
      <c r="I20" s="731">
        <f t="shared" si="1"/>
        <v>6920.2941857347123</v>
      </c>
      <c r="J20" s="731">
        <f t="shared" si="1"/>
        <v>0</v>
      </c>
      <c r="K20" s="731">
        <f t="shared" si="1"/>
        <v>0</v>
      </c>
      <c r="L20" s="731">
        <f t="shared" si="1"/>
        <v>0</v>
      </c>
      <c r="M20" s="731">
        <f t="shared" si="1"/>
        <v>0</v>
      </c>
      <c r="N20" s="731">
        <f t="shared" si="1"/>
        <v>1155.3496915802048</v>
      </c>
      <c r="O20" s="731">
        <f t="shared" si="1"/>
        <v>0</v>
      </c>
      <c r="P20" s="731">
        <f t="shared" si="1"/>
        <v>0</v>
      </c>
      <c r="Q20" s="732">
        <f t="shared" si="1"/>
        <v>0</v>
      </c>
      <c r="R20" s="733">
        <f t="shared" si="1"/>
        <v>38314.92942286162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2287.3108914700001</v>
      </c>
      <c r="D22" s="727">
        <f>+landbouw!C8</f>
        <v>0</v>
      </c>
      <c r="E22" s="727">
        <f>+landbouw!D8</f>
        <v>1444.1552386720359</v>
      </c>
      <c r="F22" s="727">
        <f>+landbouw!E8</f>
        <v>58.980965632546742</v>
      </c>
      <c r="G22" s="727">
        <f>+landbouw!F8</f>
        <v>8360.556905522064</v>
      </c>
      <c r="H22" s="727">
        <f>+landbouw!G8</f>
        <v>0</v>
      </c>
      <c r="I22" s="727">
        <f>+landbouw!H8</f>
        <v>0</v>
      </c>
      <c r="J22" s="727">
        <f>+landbouw!I8</f>
        <v>0</v>
      </c>
      <c r="K22" s="727">
        <f>+landbouw!J8</f>
        <v>329.28862585029367</v>
      </c>
      <c r="L22" s="727">
        <f>+landbouw!K8</f>
        <v>0</v>
      </c>
      <c r="M22" s="727">
        <f>+landbouw!L8</f>
        <v>0</v>
      </c>
      <c r="N22" s="727">
        <f>+landbouw!M8</f>
        <v>0</v>
      </c>
      <c r="O22" s="727">
        <f>+landbouw!N8</f>
        <v>0</v>
      </c>
      <c r="P22" s="727">
        <f>+landbouw!O8</f>
        <v>0</v>
      </c>
      <c r="Q22" s="728">
        <f>+landbouw!P8</f>
        <v>0</v>
      </c>
      <c r="R22" s="729">
        <f>SUM(C22:Q22)</f>
        <v>12480.292627146941</v>
      </c>
      <c r="S22" s="67"/>
    </row>
    <row r="23" spans="1:19" s="474" customFormat="1" ht="17.25" thickTop="1" thickBot="1">
      <c r="A23" s="734" t="s">
        <v>116</v>
      </c>
      <c r="B23" s="864"/>
      <c r="C23" s="735">
        <f ca="1">C20+C15+C22</f>
        <v>60970.143468035887</v>
      </c>
      <c r="D23" s="735">
        <f t="shared" ref="D23:Q23" ca="1" si="2">D20+D15+D22</f>
        <v>9552.8571428571431</v>
      </c>
      <c r="E23" s="735">
        <f t="shared" ca="1" si="2"/>
        <v>70233.21208893825</v>
      </c>
      <c r="F23" s="735">
        <f t="shared" si="2"/>
        <v>8492.2549074192611</v>
      </c>
      <c r="G23" s="735">
        <f t="shared" ca="1" si="2"/>
        <v>28156.740591427697</v>
      </c>
      <c r="H23" s="735">
        <f t="shared" si="2"/>
        <v>30108.275779440544</v>
      </c>
      <c r="I23" s="735">
        <f t="shared" si="2"/>
        <v>6920.2941857347123</v>
      </c>
      <c r="J23" s="735">
        <f t="shared" si="2"/>
        <v>0</v>
      </c>
      <c r="K23" s="735">
        <f t="shared" si="2"/>
        <v>1842.7838348330692</v>
      </c>
      <c r="L23" s="735">
        <f t="shared" si="2"/>
        <v>0</v>
      </c>
      <c r="M23" s="735">
        <f t="shared" ca="1" si="2"/>
        <v>0</v>
      </c>
      <c r="N23" s="735">
        <f t="shared" si="2"/>
        <v>1155.3496915802048</v>
      </c>
      <c r="O23" s="735">
        <f t="shared" ca="1" si="2"/>
        <v>20201.637691478703</v>
      </c>
      <c r="P23" s="735">
        <f t="shared" si="2"/>
        <v>282.96333333333331</v>
      </c>
      <c r="Q23" s="736">
        <f t="shared" si="2"/>
        <v>476.66666666666663</v>
      </c>
      <c r="R23" s="737">
        <f ca="1">R20+R15+R22</f>
        <v>238393.17938174546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3772.9082320307261</v>
      </c>
      <c r="D36" s="718">
        <f ca="1">tertiair!C20</f>
        <v>0</v>
      </c>
      <c r="E36" s="718">
        <f ca="1">tertiair!D20</f>
        <v>2730.9079177879667</v>
      </c>
      <c r="F36" s="718">
        <f>tertiair!E20</f>
        <v>58.055429585253862</v>
      </c>
      <c r="G36" s="718">
        <f ca="1">tertiair!F20</f>
        <v>892.82927149263821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7454.7008508965846</v>
      </c>
    </row>
    <row r="37" spans="1:18">
      <c r="A37" s="885" t="s">
        <v>225</v>
      </c>
      <c r="B37" s="892"/>
      <c r="C37" s="718">
        <f ca="1">huishoudens!B12</f>
        <v>3280.9365564085761</v>
      </c>
      <c r="D37" s="718">
        <f ca="1">huishoudens!C12</f>
        <v>0</v>
      </c>
      <c r="E37" s="718">
        <f>huishoudens!D12</f>
        <v>7833.0246603603291</v>
      </c>
      <c r="F37" s="718">
        <f>huishoudens!E12</f>
        <v>1518.3842048213967</v>
      </c>
      <c r="G37" s="718">
        <f>huishoudens!F12</f>
        <v>2875.3147205323271</v>
      </c>
      <c r="H37" s="718">
        <f>huishoudens!G12</f>
        <v>0</v>
      </c>
      <c r="I37" s="718">
        <f>huishoudens!H12</f>
        <v>0</v>
      </c>
      <c r="J37" s="718">
        <f>huishoudens!I12</f>
        <v>0</v>
      </c>
      <c r="K37" s="718">
        <f>huishoudens!J12</f>
        <v>488.7232927811674</v>
      </c>
      <c r="L37" s="718">
        <f>huishoudens!K12</f>
        <v>0</v>
      </c>
      <c r="M37" s="718">
        <f>huishoudens!L12</f>
        <v>0</v>
      </c>
      <c r="N37" s="718">
        <f>huishoudens!M12</f>
        <v>0</v>
      </c>
      <c r="O37" s="718">
        <f>huishoudens!N12</f>
        <v>0</v>
      </c>
      <c r="P37" s="718">
        <f>huishoudens!O12</f>
        <v>0</v>
      </c>
      <c r="Q37" s="828">
        <f>huishoudens!P12</f>
        <v>0</v>
      </c>
      <c r="R37" s="917">
        <f ca="1">SUM(C37:Q37)</f>
        <v>15996.383434903797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3551.3454640486884</v>
      </c>
      <c r="D39" s="718">
        <f ca="1">industrie!C22</f>
        <v>0</v>
      </c>
      <c r="E39" s="718">
        <f>industrie!D22</f>
        <v>3326.1555706975637</v>
      </c>
      <c r="F39" s="718">
        <f>industrie!E22</f>
        <v>315.99790870041932</v>
      </c>
      <c r="G39" s="718">
        <f>industrie!F22</f>
        <v>1517.4370521118381</v>
      </c>
      <c r="H39" s="718">
        <f>industrie!G22</f>
        <v>0</v>
      </c>
      <c r="I39" s="718">
        <f>industrie!H22</f>
        <v>0</v>
      </c>
      <c r="J39" s="718">
        <f>industrie!I22</f>
        <v>0</v>
      </c>
      <c r="K39" s="718">
        <f>industrie!J22</f>
        <v>47.054011198735068</v>
      </c>
      <c r="L39" s="718">
        <f>industrie!K22</f>
        <v>0</v>
      </c>
      <c r="M39" s="718">
        <f>industrie!L22</f>
        <v>0</v>
      </c>
      <c r="N39" s="718">
        <f>industrie!M22</f>
        <v>0</v>
      </c>
      <c r="O39" s="718">
        <f>industrie!N22</f>
        <v>0</v>
      </c>
      <c r="P39" s="718">
        <f>industrie!O22</f>
        <v>0</v>
      </c>
      <c r="Q39" s="828">
        <f>industrie!P22</f>
        <v>0</v>
      </c>
      <c r="R39" s="918">
        <f ca="1">SUM(C39:Q39)</f>
        <v>8757.9900067572453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10605.190252487992</v>
      </c>
      <c r="D41" s="763">
        <f t="shared" ref="D41:R41" ca="1" si="4">SUM(D35:D40)</f>
        <v>0</v>
      </c>
      <c r="E41" s="763">
        <f t="shared" ca="1" si="4"/>
        <v>13890.088148845858</v>
      </c>
      <c r="F41" s="763">
        <f t="shared" si="4"/>
        <v>1892.4375431070698</v>
      </c>
      <c r="G41" s="763">
        <f t="shared" ca="1" si="4"/>
        <v>5285.581044136803</v>
      </c>
      <c r="H41" s="763">
        <f t="shared" si="4"/>
        <v>0</v>
      </c>
      <c r="I41" s="763">
        <f t="shared" si="4"/>
        <v>0</v>
      </c>
      <c r="J41" s="763">
        <f t="shared" si="4"/>
        <v>0</v>
      </c>
      <c r="K41" s="763">
        <f t="shared" si="4"/>
        <v>535.77730397990251</v>
      </c>
      <c r="L41" s="763">
        <f t="shared" si="4"/>
        <v>0</v>
      </c>
      <c r="M41" s="763">
        <f t="shared" ca="1" si="4"/>
        <v>0</v>
      </c>
      <c r="N41" s="763">
        <f t="shared" si="4"/>
        <v>0</v>
      </c>
      <c r="O41" s="763">
        <f t="shared" ca="1" si="4"/>
        <v>0</v>
      </c>
      <c r="P41" s="763">
        <f t="shared" si="4"/>
        <v>0</v>
      </c>
      <c r="Q41" s="764">
        <f t="shared" si="4"/>
        <v>0</v>
      </c>
      <c r="R41" s="765">
        <f t="shared" ca="1" si="4"/>
        <v>32209.074292557627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325.40253187995506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325.40253187995506</v>
      </c>
    </row>
    <row r="45" spans="1:18" ht="15" thickBot="1">
      <c r="A45" s="888" t="s">
        <v>307</v>
      </c>
      <c r="B45" s="898"/>
      <c r="C45" s="727">
        <f ca="1">transport!B18</f>
        <v>1.4858854419528005</v>
      </c>
      <c r="D45" s="727">
        <f>transport!C18</f>
        <v>0</v>
      </c>
      <c r="E45" s="727">
        <f>transport!D18</f>
        <v>5.3013349079139935</v>
      </c>
      <c r="F45" s="727">
        <f>transport!E18</f>
        <v>21.915641678514294</v>
      </c>
      <c r="G45" s="727">
        <f>transport!F18</f>
        <v>0</v>
      </c>
      <c r="H45" s="727">
        <f>transport!G18</f>
        <v>7713.5071012306707</v>
      </c>
      <c r="I45" s="727">
        <f>transport!H18</f>
        <v>1723.1532522479433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9465.3632155069954</v>
      </c>
    </row>
    <row r="46" spans="1:18" ht="15.75" thickBot="1">
      <c r="A46" s="886" t="s">
        <v>230</v>
      </c>
      <c r="B46" s="899"/>
      <c r="C46" s="763">
        <f t="shared" ref="C46:R46" ca="1" si="5">SUM(C43:C45)</f>
        <v>1.4858854419528005</v>
      </c>
      <c r="D46" s="763">
        <f t="shared" ca="1" si="5"/>
        <v>0</v>
      </c>
      <c r="E46" s="763">
        <f t="shared" si="5"/>
        <v>5.3013349079139935</v>
      </c>
      <c r="F46" s="763">
        <f t="shared" si="5"/>
        <v>21.915641678514294</v>
      </c>
      <c r="G46" s="763">
        <f t="shared" si="5"/>
        <v>0</v>
      </c>
      <c r="H46" s="763">
        <f t="shared" si="5"/>
        <v>8038.9096331106257</v>
      </c>
      <c r="I46" s="763">
        <f t="shared" si="5"/>
        <v>1723.1532522479433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9790.7657473869513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413.42186100045711</v>
      </c>
      <c r="D48" s="718">
        <f ca="1">+landbouw!C12</f>
        <v>0</v>
      </c>
      <c r="E48" s="718">
        <f>+landbouw!D12</f>
        <v>291.71935821175128</v>
      </c>
      <c r="F48" s="718">
        <f>+landbouw!E12</f>
        <v>13.388679198588111</v>
      </c>
      <c r="G48" s="718">
        <f>+landbouw!F12</f>
        <v>2232.2686937743911</v>
      </c>
      <c r="H48" s="718">
        <f>+landbouw!G12</f>
        <v>0</v>
      </c>
      <c r="I48" s="718">
        <f>+landbouw!H12</f>
        <v>0</v>
      </c>
      <c r="J48" s="718">
        <f>+landbouw!I12</f>
        <v>0</v>
      </c>
      <c r="K48" s="718">
        <f>+landbouw!J12</f>
        <v>116.56817355100395</v>
      </c>
      <c r="L48" s="718">
        <f>+landbouw!K12</f>
        <v>0</v>
      </c>
      <c r="M48" s="718">
        <f>+landbouw!L12</f>
        <v>0</v>
      </c>
      <c r="N48" s="718">
        <f>+landbouw!M12</f>
        <v>0</v>
      </c>
      <c r="O48" s="718">
        <f>+landbouw!N12</f>
        <v>0</v>
      </c>
      <c r="P48" s="718">
        <f>+landbouw!O12</f>
        <v>0</v>
      </c>
      <c r="Q48" s="719">
        <f>+landbouw!P12</f>
        <v>0</v>
      </c>
      <c r="R48" s="761">
        <f ca="1">SUM(C48:Q48)</f>
        <v>3067.3667657361916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11020.097998930401</v>
      </c>
      <c r="D53" s="773">
        <f t="shared" ref="D53:Q53" ca="1" si="6">D41+D46+D48</f>
        <v>0</v>
      </c>
      <c r="E53" s="773">
        <f t="shared" ca="1" si="6"/>
        <v>14187.108841965523</v>
      </c>
      <c r="F53" s="773">
        <f t="shared" si="6"/>
        <v>1927.7418639841721</v>
      </c>
      <c r="G53" s="773">
        <f t="shared" ca="1" si="6"/>
        <v>7517.8497379111941</v>
      </c>
      <c r="H53" s="773">
        <f t="shared" si="6"/>
        <v>8038.9096331106257</v>
      </c>
      <c r="I53" s="773">
        <f t="shared" si="6"/>
        <v>1723.1532522479433</v>
      </c>
      <c r="J53" s="773">
        <f t="shared" si="6"/>
        <v>0</v>
      </c>
      <c r="K53" s="773">
        <f t="shared" si="6"/>
        <v>652.34547753090646</v>
      </c>
      <c r="L53" s="773">
        <f t="shared" si="6"/>
        <v>0</v>
      </c>
      <c r="M53" s="773">
        <f t="shared" ca="1" si="6"/>
        <v>0</v>
      </c>
      <c r="N53" s="773">
        <f t="shared" si="6"/>
        <v>0</v>
      </c>
      <c r="O53" s="773">
        <f t="shared" ca="1" si="6"/>
        <v>0</v>
      </c>
      <c r="P53" s="773">
        <f>P41+P46+P48</f>
        <v>0</v>
      </c>
      <c r="Q53" s="774">
        <f t="shared" si="6"/>
        <v>0</v>
      </c>
      <c r="R53" s="775">
        <f ca="1">R41+R46+R48</f>
        <v>45067.206805680777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0.18074581052458538</v>
      </c>
      <c r="D55" s="836">
        <f t="shared" ca="1" si="7"/>
        <v>0</v>
      </c>
      <c r="E55" s="836">
        <f t="shared" ca="1" si="7"/>
        <v>0.20199999999999996</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4418.4466402965072</v>
      </c>
      <c r="C66" s="795">
        <f>'lokale energieproductie'!B6</f>
        <v>4418.4466402965072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6687</v>
      </c>
      <c r="C67" s="794">
        <f>B67*IFERROR(SUM(J67:L67)/SUM(D67:M67),0)</f>
        <v>6687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7867.0588235294117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11105.446640296508</v>
      </c>
      <c r="C69" s="803">
        <f>SUM(C64:C68)</f>
        <v>11105.446640296508</v>
      </c>
      <c r="D69" s="804">
        <f t="shared" ref="D69:M69" si="8">SUM(D67:D68)</f>
        <v>0</v>
      </c>
      <c r="E69" s="804">
        <f t="shared" si="8"/>
        <v>0</v>
      </c>
      <c r="F69" s="804">
        <f t="shared" si="8"/>
        <v>0</v>
      </c>
      <c r="G69" s="804">
        <f t="shared" si="8"/>
        <v>0</v>
      </c>
      <c r="H69" s="804">
        <f t="shared" si="8"/>
        <v>0</v>
      </c>
      <c r="I69" s="804">
        <f t="shared" si="8"/>
        <v>0</v>
      </c>
      <c r="J69" s="804">
        <f t="shared" si="8"/>
        <v>0</v>
      </c>
      <c r="K69" s="804">
        <f t="shared" si="8"/>
        <v>7867.0588235294117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9552.8571428571431</v>
      </c>
      <c r="C78" s="817">
        <f>B78*IFERROR(SUM(I78:L78)/SUM(D78:M78),0)</f>
        <v>9552.8571428571431</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11238.655462184875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9552.8571428571431</v>
      </c>
      <c r="C81" s="803">
        <f>SUM(C78:C80)</f>
        <v>9552.8571428571431</v>
      </c>
      <c r="D81" s="803">
        <f t="shared" ref="D81:P81" si="9">SUM(D78:D80)</f>
        <v>0</v>
      </c>
      <c r="E81" s="803">
        <f t="shared" si="9"/>
        <v>0</v>
      </c>
      <c r="F81" s="803">
        <f t="shared" si="9"/>
        <v>0</v>
      </c>
      <c r="G81" s="803">
        <f t="shared" si="9"/>
        <v>0</v>
      </c>
      <c r="H81" s="803">
        <f t="shared" si="9"/>
        <v>0</v>
      </c>
      <c r="I81" s="803">
        <f t="shared" si="9"/>
        <v>0</v>
      </c>
      <c r="J81" s="803">
        <f t="shared" si="9"/>
        <v>0</v>
      </c>
      <c r="K81" s="803">
        <f t="shared" si="9"/>
        <v>11238.655462184875</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18152.213580420979</v>
      </c>
      <c r="C4" s="478">
        <f>huishoudens!C8</f>
        <v>0</v>
      </c>
      <c r="D4" s="478">
        <f>huishoudens!D8</f>
        <v>38777.349803764002</v>
      </c>
      <c r="E4" s="478">
        <f>huishoudens!E8</f>
        <v>6688.9172018563731</v>
      </c>
      <c r="F4" s="478">
        <f>huishoudens!F8</f>
        <v>10768.968990757779</v>
      </c>
      <c r="G4" s="478">
        <f>huishoudens!G8</f>
        <v>0</v>
      </c>
      <c r="H4" s="478">
        <f>huishoudens!H8</f>
        <v>0</v>
      </c>
      <c r="I4" s="478">
        <f>huishoudens!I8</f>
        <v>0</v>
      </c>
      <c r="J4" s="478">
        <f>huishoudens!J8</f>
        <v>1380.5742733931284</v>
      </c>
      <c r="K4" s="478">
        <f>huishoudens!K8</f>
        <v>0</v>
      </c>
      <c r="L4" s="478">
        <f>huishoudens!L8</f>
        <v>0</v>
      </c>
      <c r="M4" s="478">
        <f>huishoudens!M8</f>
        <v>0</v>
      </c>
      <c r="N4" s="478">
        <f>huishoudens!N8</f>
        <v>16173.092723882073</v>
      </c>
      <c r="O4" s="478">
        <f>huishoudens!O8</f>
        <v>276.70999999999998</v>
      </c>
      <c r="P4" s="479">
        <f>huishoudens!P8</f>
        <v>438.5333333333333</v>
      </c>
      <c r="Q4" s="480">
        <f>SUM(B4:P4)</f>
        <v>92656.359907407677</v>
      </c>
    </row>
    <row r="5" spans="1:17">
      <c r="A5" s="477" t="s">
        <v>156</v>
      </c>
      <c r="B5" s="478">
        <f ca="1">tertiair!B16</f>
        <v>19869.475665883001</v>
      </c>
      <c r="C5" s="478">
        <f ca="1">tertiair!C16</f>
        <v>9552.8571428571431</v>
      </c>
      <c r="D5" s="478">
        <f ca="1">tertiair!D16</f>
        <v>13519.346127663201</v>
      </c>
      <c r="E5" s="478">
        <f>tertiair!E16</f>
        <v>255.75079112446633</v>
      </c>
      <c r="F5" s="478">
        <f ca="1">tertiair!F16</f>
        <v>3343.929855777671</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6.2533333333333339</v>
      </c>
      <c r="P5" s="479">
        <f>tertiair!P16</f>
        <v>38.133333333333333</v>
      </c>
      <c r="Q5" s="477">
        <f t="shared" ref="Q5:Q13" ca="1" si="0">SUM(B5:P5)</f>
        <v>46585.746249972151</v>
      </c>
    </row>
    <row r="6" spans="1:17">
      <c r="A6" s="477" t="s">
        <v>194</v>
      </c>
      <c r="B6" s="478">
        <f>'openbare verlichting'!B8</f>
        <v>1004.636</v>
      </c>
      <c r="C6" s="478"/>
      <c r="D6" s="478"/>
      <c r="E6" s="478"/>
      <c r="F6" s="478"/>
      <c r="G6" s="478"/>
      <c r="H6" s="478"/>
      <c r="I6" s="478"/>
      <c r="J6" s="478"/>
      <c r="K6" s="478"/>
      <c r="L6" s="478"/>
      <c r="M6" s="478"/>
      <c r="N6" s="478"/>
      <c r="O6" s="478"/>
      <c r="P6" s="479"/>
      <c r="Q6" s="477">
        <f t="shared" si="0"/>
        <v>1004.636</v>
      </c>
    </row>
    <row r="7" spans="1:17">
      <c r="A7" s="477" t="s">
        <v>112</v>
      </c>
      <c r="B7" s="478">
        <f>landbouw!B8</f>
        <v>2287.3108914700001</v>
      </c>
      <c r="C7" s="478">
        <f>landbouw!C8</f>
        <v>0</v>
      </c>
      <c r="D7" s="478">
        <f>landbouw!D8</f>
        <v>1444.1552386720359</v>
      </c>
      <c r="E7" s="478">
        <f>landbouw!E8</f>
        <v>58.980965632546742</v>
      </c>
      <c r="F7" s="478">
        <f>landbouw!F8</f>
        <v>8360.556905522064</v>
      </c>
      <c r="G7" s="478">
        <f>landbouw!G8</f>
        <v>0</v>
      </c>
      <c r="H7" s="478">
        <f>landbouw!H8</f>
        <v>0</v>
      </c>
      <c r="I7" s="478">
        <f>landbouw!I8</f>
        <v>0</v>
      </c>
      <c r="J7" s="478">
        <f>landbouw!J8</f>
        <v>329.28862585029367</v>
      </c>
      <c r="K7" s="478">
        <f>landbouw!K8</f>
        <v>0</v>
      </c>
      <c r="L7" s="478">
        <f>landbouw!L8</f>
        <v>0</v>
      </c>
      <c r="M7" s="478">
        <f>landbouw!M8</f>
        <v>0</v>
      </c>
      <c r="N7" s="478">
        <f>landbouw!N8</f>
        <v>0</v>
      </c>
      <c r="O7" s="478">
        <f>landbouw!O8</f>
        <v>0</v>
      </c>
      <c r="P7" s="479">
        <f>landbouw!P8</f>
        <v>0</v>
      </c>
      <c r="Q7" s="477">
        <f t="shared" si="0"/>
        <v>12480.292627146941</v>
      </c>
    </row>
    <row r="8" spans="1:17">
      <c r="A8" s="477" t="s">
        <v>638</v>
      </c>
      <c r="B8" s="478">
        <f>industrie!B18</f>
        <v>19648.286473370998</v>
      </c>
      <c r="C8" s="478">
        <f>industrie!C18</f>
        <v>0</v>
      </c>
      <c r="D8" s="478">
        <f>industrie!D18</f>
        <v>16466.116686621601</v>
      </c>
      <c r="E8" s="478">
        <f>industrie!E18</f>
        <v>1392.0612718080147</v>
      </c>
      <c r="F8" s="478">
        <f>industrie!F18</f>
        <v>5683.2848393701797</v>
      </c>
      <c r="G8" s="478">
        <f>industrie!G18</f>
        <v>0</v>
      </c>
      <c r="H8" s="478">
        <f>industrie!H18</f>
        <v>0</v>
      </c>
      <c r="I8" s="478">
        <f>industrie!I18</f>
        <v>0</v>
      </c>
      <c r="J8" s="478">
        <f>industrie!J18</f>
        <v>132.92093558964709</v>
      </c>
      <c r="K8" s="478">
        <f>industrie!K18</f>
        <v>0</v>
      </c>
      <c r="L8" s="478">
        <f>industrie!L18</f>
        <v>0</v>
      </c>
      <c r="M8" s="478">
        <f>industrie!M18</f>
        <v>0</v>
      </c>
      <c r="N8" s="478">
        <f>industrie!N18</f>
        <v>4028.5449675966283</v>
      </c>
      <c r="O8" s="478">
        <f>industrie!O18</f>
        <v>0</v>
      </c>
      <c r="P8" s="479">
        <f>industrie!P18</f>
        <v>0</v>
      </c>
      <c r="Q8" s="477">
        <f t="shared" si="0"/>
        <v>47351.215174357065</v>
      </c>
    </row>
    <row r="9" spans="1:17" s="483" customFormat="1">
      <c r="A9" s="481" t="s">
        <v>564</v>
      </c>
      <c r="B9" s="482">
        <f>transport!B14</f>
        <v>8.2208568909025281</v>
      </c>
      <c r="C9" s="482">
        <f>transport!C14</f>
        <v>0</v>
      </c>
      <c r="D9" s="482">
        <f>transport!D14</f>
        <v>26.244232217396007</v>
      </c>
      <c r="E9" s="482">
        <f>transport!E14</f>
        <v>96.544676997860321</v>
      </c>
      <c r="F9" s="482">
        <f>transport!F14</f>
        <v>0</v>
      </c>
      <c r="G9" s="482">
        <f>transport!G14</f>
        <v>28889.539704983785</v>
      </c>
      <c r="H9" s="482">
        <f>transport!H14</f>
        <v>6920.2941857347123</v>
      </c>
      <c r="I9" s="482">
        <f>transport!I14</f>
        <v>0</v>
      </c>
      <c r="J9" s="482">
        <f>transport!J14</f>
        <v>0</v>
      </c>
      <c r="K9" s="482">
        <f>transport!K14</f>
        <v>0</v>
      </c>
      <c r="L9" s="482">
        <f>transport!L14</f>
        <v>0</v>
      </c>
      <c r="M9" s="482">
        <f>transport!M14</f>
        <v>1117.5472250850721</v>
      </c>
      <c r="N9" s="482">
        <f>transport!N14</f>
        <v>0</v>
      </c>
      <c r="O9" s="482">
        <f>transport!O14</f>
        <v>0</v>
      </c>
      <c r="P9" s="482">
        <f>transport!P14</f>
        <v>0</v>
      </c>
      <c r="Q9" s="481">
        <f>SUM(B9:P9)</f>
        <v>37058.390881909727</v>
      </c>
    </row>
    <row r="10" spans="1:17">
      <c r="A10" s="477" t="s">
        <v>554</v>
      </c>
      <c r="B10" s="478">
        <f>transport!B54</f>
        <v>0</v>
      </c>
      <c r="C10" s="478">
        <f>transport!C54</f>
        <v>0</v>
      </c>
      <c r="D10" s="478">
        <f>transport!D54</f>
        <v>0</v>
      </c>
      <c r="E10" s="478">
        <f>transport!E54</f>
        <v>0</v>
      </c>
      <c r="F10" s="478">
        <f>transport!F54</f>
        <v>0</v>
      </c>
      <c r="G10" s="478">
        <f>transport!G54</f>
        <v>1218.7360744567604</v>
      </c>
      <c r="H10" s="478">
        <f>transport!H54</f>
        <v>0</v>
      </c>
      <c r="I10" s="478">
        <f>transport!I54</f>
        <v>0</v>
      </c>
      <c r="J10" s="478">
        <f>transport!J54</f>
        <v>0</v>
      </c>
      <c r="K10" s="478">
        <f>transport!K54</f>
        <v>0</v>
      </c>
      <c r="L10" s="478">
        <f>transport!L54</f>
        <v>0</v>
      </c>
      <c r="M10" s="478">
        <f>transport!M54</f>
        <v>37.802466495132762</v>
      </c>
      <c r="N10" s="478">
        <f>transport!N54</f>
        <v>0</v>
      </c>
      <c r="O10" s="478">
        <f>transport!O54</f>
        <v>0</v>
      </c>
      <c r="P10" s="479">
        <f>transport!P54</f>
        <v>0</v>
      </c>
      <c r="Q10" s="477">
        <f t="shared" si="0"/>
        <v>1256.5385409518931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60970.143468035887</v>
      </c>
      <c r="C14" s="488">
        <f t="shared" ref="C14:Q14" ca="1" si="1">SUM(C4:C13)</f>
        <v>9552.8571428571431</v>
      </c>
      <c r="D14" s="488">
        <f t="shared" ca="1" si="1"/>
        <v>70233.21208893825</v>
      </c>
      <c r="E14" s="488">
        <f t="shared" si="1"/>
        <v>8492.254907419263</v>
      </c>
      <c r="F14" s="488">
        <f t="shared" ca="1" si="1"/>
        <v>28156.740591427693</v>
      </c>
      <c r="G14" s="488">
        <f t="shared" si="1"/>
        <v>30108.275779440544</v>
      </c>
      <c r="H14" s="488">
        <f t="shared" si="1"/>
        <v>6920.2941857347123</v>
      </c>
      <c r="I14" s="488">
        <f t="shared" si="1"/>
        <v>0</v>
      </c>
      <c r="J14" s="488">
        <f t="shared" si="1"/>
        <v>1842.783834833069</v>
      </c>
      <c r="K14" s="488">
        <f t="shared" si="1"/>
        <v>0</v>
      </c>
      <c r="L14" s="488">
        <f t="shared" ca="1" si="1"/>
        <v>0</v>
      </c>
      <c r="M14" s="488">
        <f t="shared" si="1"/>
        <v>1155.3496915802048</v>
      </c>
      <c r="N14" s="488">
        <f t="shared" ca="1" si="1"/>
        <v>20201.637691478703</v>
      </c>
      <c r="O14" s="488">
        <f t="shared" si="1"/>
        <v>282.96333333333331</v>
      </c>
      <c r="P14" s="489">
        <f t="shared" si="1"/>
        <v>476.66666666666663</v>
      </c>
      <c r="Q14" s="489">
        <f t="shared" ca="1" si="1"/>
        <v>238393.17938174546</v>
      </c>
    </row>
    <row r="16" spans="1:17">
      <c r="A16" s="491" t="s">
        <v>559</v>
      </c>
      <c r="B16" s="841">
        <f ca="1">huishoudens!B10</f>
        <v>0.18074581052458538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3280.9365564085761</v>
      </c>
      <c r="C21" s="478">
        <f t="shared" ref="C21:C30" ca="1" si="3">C4*$C$16</f>
        <v>0</v>
      </c>
      <c r="D21" s="478">
        <f t="shared" ref="D21:D30" si="4">D4*$D$16</f>
        <v>7833.0246603603291</v>
      </c>
      <c r="E21" s="478">
        <f t="shared" ref="E21:E30" si="5">E4*$E$16</f>
        <v>1518.3842048213967</v>
      </c>
      <c r="F21" s="478">
        <f t="shared" ref="F21:F30" si="6">F4*$F$16</f>
        <v>2875.3147205323271</v>
      </c>
      <c r="G21" s="478">
        <f t="shared" ref="G21:G30" si="7">G4*$G$16</f>
        <v>0</v>
      </c>
      <c r="H21" s="478">
        <f t="shared" ref="H21:H30" si="8">H4*$H$16</f>
        <v>0</v>
      </c>
      <c r="I21" s="478">
        <f t="shared" ref="I21:I30" si="9">I4*$I$16</f>
        <v>0</v>
      </c>
      <c r="J21" s="478">
        <f t="shared" ref="J21:J30" si="10">J4*$J$16</f>
        <v>488.7232927811674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15996.383434903797</v>
      </c>
    </row>
    <row r="22" spans="1:17">
      <c r="A22" s="477" t="s">
        <v>156</v>
      </c>
      <c r="B22" s="478">
        <f t="shared" ca="1" si="2"/>
        <v>3591.3244839285489</v>
      </c>
      <c r="C22" s="478">
        <f t="shared" ca="1" si="3"/>
        <v>0</v>
      </c>
      <c r="D22" s="478">
        <f t="shared" ca="1" si="4"/>
        <v>2730.9079177879667</v>
      </c>
      <c r="E22" s="478">
        <f t="shared" si="5"/>
        <v>58.055429585253862</v>
      </c>
      <c r="F22" s="478">
        <f t="shared" ca="1" si="6"/>
        <v>892.82927149263821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7273.1171027944074</v>
      </c>
    </row>
    <row r="23" spans="1:17">
      <c r="A23" s="477" t="s">
        <v>194</v>
      </c>
      <c r="B23" s="478">
        <f t="shared" ca="1" si="2"/>
        <v>181.58374810217737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181.58374810217737</v>
      </c>
    </row>
    <row r="24" spans="1:17">
      <c r="A24" s="477" t="s">
        <v>112</v>
      </c>
      <c r="B24" s="478">
        <f t="shared" ca="1" si="2"/>
        <v>413.42186100045711</v>
      </c>
      <c r="C24" s="478">
        <f t="shared" ca="1" si="3"/>
        <v>0</v>
      </c>
      <c r="D24" s="478">
        <f t="shared" si="4"/>
        <v>291.71935821175128</v>
      </c>
      <c r="E24" s="478">
        <f t="shared" si="5"/>
        <v>13.388679198588111</v>
      </c>
      <c r="F24" s="478">
        <f t="shared" si="6"/>
        <v>2232.2686937743911</v>
      </c>
      <c r="G24" s="478">
        <f t="shared" si="7"/>
        <v>0</v>
      </c>
      <c r="H24" s="478">
        <f t="shared" si="8"/>
        <v>0</v>
      </c>
      <c r="I24" s="478">
        <f t="shared" si="9"/>
        <v>0</v>
      </c>
      <c r="J24" s="478">
        <f t="shared" si="10"/>
        <v>116.56817355100395</v>
      </c>
      <c r="K24" s="478">
        <f t="shared" si="11"/>
        <v>0</v>
      </c>
      <c r="L24" s="478">
        <f t="shared" si="12"/>
        <v>0</v>
      </c>
      <c r="M24" s="478">
        <f t="shared" si="13"/>
        <v>0</v>
      </c>
      <c r="N24" s="478">
        <f t="shared" si="14"/>
        <v>0</v>
      </c>
      <c r="O24" s="478">
        <f t="shared" si="15"/>
        <v>0</v>
      </c>
      <c r="P24" s="479">
        <f t="shared" si="16"/>
        <v>0</v>
      </c>
      <c r="Q24" s="477">
        <f t="shared" ca="1" si="17"/>
        <v>3067.3667657361916</v>
      </c>
    </row>
    <row r="25" spans="1:17">
      <c r="A25" s="477" t="s">
        <v>638</v>
      </c>
      <c r="B25" s="478">
        <f t="shared" ca="1" si="2"/>
        <v>3551.3454640486884</v>
      </c>
      <c r="C25" s="478">
        <f t="shared" ca="1" si="3"/>
        <v>0</v>
      </c>
      <c r="D25" s="478">
        <f t="shared" si="4"/>
        <v>3326.1555706975637</v>
      </c>
      <c r="E25" s="478">
        <f t="shared" si="5"/>
        <v>315.99790870041932</v>
      </c>
      <c r="F25" s="478">
        <f t="shared" si="6"/>
        <v>1517.4370521118381</v>
      </c>
      <c r="G25" s="478">
        <f t="shared" si="7"/>
        <v>0</v>
      </c>
      <c r="H25" s="478">
        <f t="shared" si="8"/>
        <v>0</v>
      </c>
      <c r="I25" s="478">
        <f t="shared" si="9"/>
        <v>0</v>
      </c>
      <c r="J25" s="478">
        <f t="shared" si="10"/>
        <v>47.054011198735068</v>
      </c>
      <c r="K25" s="478">
        <f t="shared" si="11"/>
        <v>0</v>
      </c>
      <c r="L25" s="478">
        <f t="shared" si="12"/>
        <v>0</v>
      </c>
      <c r="M25" s="478">
        <f t="shared" si="13"/>
        <v>0</v>
      </c>
      <c r="N25" s="478">
        <f t="shared" si="14"/>
        <v>0</v>
      </c>
      <c r="O25" s="478">
        <f t="shared" si="15"/>
        <v>0</v>
      </c>
      <c r="P25" s="479">
        <f t="shared" si="16"/>
        <v>0</v>
      </c>
      <c r="Q25" s="477">
        <f t="shared" ca="1" si="17"/>
        <v>8757.9900067572453</v>
      </c>
    </row>
    <row r="26" spans="1:17" s="483" customFormat="1">
      <c r="A26" s="481" t="s">
        <v>564</v>
      </c>
      <c r="B26" s="835">
        <f t="shared" ca="1" si="2"/>
        <v>1.4858854419528005</v>
      </c>
      <c r="C26" s="482">
        <f t="shared" ca="1" si="3"/>
        <v>0</v>
      </c>
      <c r="D26" s="482">
        <f t="shared" si="4"/>
        <v>5.3013349079139935</v>
      </c>
      <c r="E26" s="482">
        <f t="shared" si="5"/>
        <v>21.915641678514294</v>
      </c>
      <c r="F26" s="482">
        <f t="shared" si="6"/>
        <v>0</v>
      </c>
      <c r="G26" s="482">
        <f t="shared" si="7"/>
        <v>7713.5071012306707</v>
      </c>
      <c r="H26" s="482">
        <f t="shared" si="8"/>
        <v>1723.1532522479433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9465.3632155069954</v>
      </c>
    </row>
    <row r="27" spans="1:17">
      <c r="A27" s="477" t="s">
        <v>554</v>
      </c>
      <c r="B27" s="478">
        <f t="shared" ca="1" si="2"/>
        <v>0</v>
      </c>
      <c r="C27" s="478">
        <f t="shared" ca="1" si="3"/>
        <v>0</v>
      </c>
      <c r="D27" s="478">
        <f t="shared" si="4"/>
        <v>0</v>
      </c>
      <c r="E27" s="478">
        <f t="shared" si="5"/>
        <v>0</v>
      </c>
      <c r="F27" s="478">
        <f t="shared" si="6"/>
        <v>0</v>
      </c>
      <c r="G27" s="478">
        <f t="shared" si="7"/>
        <v>325.40253187995506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325.40253187995506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11020.097998930401</v>
      </c>
      <c r="C31" s="488">
        <f t="shared" ca="1" si="18"/>
        <v>0</v>
      </c>
      <c r="D31" s="488">
        <f t="shared" ca="1" si="18"/>
        <v>14187.108841965523</v>
      </c>
      <c r="E31" s="488">
        <f t="shared" si="18"/>
        <v>1927.7418639841724</v>
      </c>
      <c r="F31" s="488">
        <f t="shared" ca="1" si="18"/>
        <v>7517.8497379111941</v>
      </c>
      <c r="G31" s="488">
        <f t="shared" si="18"/>
        <v>8038.9096331106257</v>
      </c>
      <c r="H31" s="488">
        <f t="shared" si="18"/>
        <v>1723.1532522479433</v>
      </c>
      <c r="I31" s="488">
        <f t="shared" si="18"/>
        <v>0</v>
      </c>
      <c r="J31" s="488">
        <f t="shared" si="18"/>
        <v>652.34547753090646</v>
      </c>
      <c r="K31" s="488">
        <f t="shared" si="18"/>
        <v>0</v>
      </c>
      <c r="L31" s="488">
        <f t="shared" ca="1" si="18"/>
        <v>0</v>
      </c>
      <c r="M31" s="488">
        <f t="shared" si="18"/>
        <v>0</v>
      </c>
      <c r="N31" s="488">
        <f t="shared" ca="1" si="18"/>
        <v>0</v>
      </c>
      <c r="O31" s="488">
        <f t="shared" si="18"/>
        <v>0</v>
      </c>
      <c r="P31" s="489">
        <f t="shared" si="18"/>
        <v>0</v>
      </c>
      <c r="Q31" s="489">
        <f t="shared" ca="1" si="18"/>
        <v>45067.206805680762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0.18074581052458538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0.18074581052458538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0.18074581052458538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2018-06-27T09:43:05Z</dcterms:modified>
</cp:coreProperties>
</file>