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<sst xmlns="http://schemas.openxmlformats.org/spreadsheetml/2006/main" count="1969" uniqueCount="842">
  <si>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</si>
  <si>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</si>
  <si>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</si>
  <si>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</si>
  <si>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</si>
  <si>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</si>
  <si>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</si>
  <si>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</si>
  <si>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</si>
  <si>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</si>
  <si>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</si>
  <si>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</si>
  <si>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</si>
  <si>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</si>
  <si>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</si>
  <si>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</si>
  <si>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</si>
  <si>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</si>
  <si>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</si>
  <si>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</si>
  <si>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</si>
  <si>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</si>
  <si>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</si>
  <si>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</si>
  <si>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</si>
  <si>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</si>
  <si>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</si>
  <si>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</si>
  <si>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</si>
  <si>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</si>
  <si>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</si>
  <si>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</si>
  <si>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</si>
  <si>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</si>
  <si>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</si>
  <si>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</si>
  <si>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</si>
  <si>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</si>
  <si>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</si>
  <si>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</si>
  <si>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</si>
  <si>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</si>
  <si>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</si>
  <si>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</si>
  <si>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</si>
  <si>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</si>
  <si>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</si>
  <si>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</si>
  <si>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</si>
  <si>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</si>
  <si>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</si>
  <si>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</si>
  <si>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</si>
  <si>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</si>
  <si>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</si>
  <si>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</si>
  <si>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</si>
  <si>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</si>
  <si>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</si>
  <si>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</si>
  <si>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</si>
  <si>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</si>
  <si>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</si>
  <si>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</si>
  <si>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</si>
  <si>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</si>
  <si>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</si>
  <si>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</si>
  <si>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</si>
  <si>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</si>
  <si>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</si>
  <si>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</si>
  <si>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</si>
  <si>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</si>
  <si>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</si>
  <si>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</si>
  <si>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</si>
  <si>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</si>
  <si>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</si>
  <si>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</si>
  <si>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</si>
  <si>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</si>
  <si>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</si>
  <si>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</si>
  <si>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</si>
  <si>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</si>
  <si>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</si>
  <si>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</si>
  <si>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</si>
  <si>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</si>
  <si>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</si>
  <si>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</si>
  <si>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</si>
  <si>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</si>
  <si>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</si>
  <si>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</si>
  <si>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</si>
  <si>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</si>
  <si>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</si>
  <si>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</si>
  <si>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</si>
  <si>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</si>
  <si>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</si>
  <si>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</si>
  <si>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</si>
  <si>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</si>
  <si>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</si>
  <si>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</si>
  <si>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</si>
  <si>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</si>
  <si>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</si>
  <si>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</si>
  <si>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</si>
  <si>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</si>
  <si>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</si>
  <si>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</si>
  <si>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</si>
  <si>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</si>
  <si>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</si>
  <si>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</si>
  <si>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</si>
  <si>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</si>
  <si>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</si>
  <si>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</si>
  <si>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</si>
  <si>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</si>
  <si>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</si>
  <si>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</si>
  <si>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</si>
  <si>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</si>
  <si>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</si>
  <si>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</si>
  <si>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</si>
  <si>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</si>
  <si>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</si>
  <si>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</si>
  <si>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</si>
  <si>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</si>
  <si>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</si>
  <si>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</si>
  <si>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</si>
  <si>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</si>
  <si>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</si>
  <si>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</si>
  <si>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</si>
  <si>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</si>
  <si>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</si>
  <si>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</si>
  <si>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</si>
  <si>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</si>
  <si>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</si>
  <si>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</si>
  <si>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</si>
  <si>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</si>
  <si>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</si>
  <si>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</si>
  <si>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</si>
  <si>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</si>
  <si>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</si>
  <si>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</si>
  <si>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</si>
  <si>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</si>
  <si>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</si>
  <si>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</si>
  <si>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</si>
  <si>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</si>
  <si>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</si>
  <si>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</si>
  <si>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</si>
  <si>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</si>
  <si>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</si>
  <si>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</si>
  <si>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</si>
  <si>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</si>
  <si>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</si>
  <si>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</si>
  <si>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</si>
  <si>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</si>
  <si>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</si>
  <si>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</si>
  <si>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</si>
  <si>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</si>
  <si>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</si>
  <si>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</si>
  <si>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</si>
  <si>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</si>
  <si>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</si>
  <si>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</si>
  <si>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</si>
  <si>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</si>
  <si>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</si>
  <si>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</si>
  <si>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</si>
  <si>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</si>
  <si>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</si>
  <si>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</si>
  <si>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</si>
  <si>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</si>
  <si>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</si>
  <si>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</si>
  <si>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</si>
  <si>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</si>
  <si>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</si>
  <si>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</si>
  <si>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</si>
  <si>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</si>
  <si>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</si>
  <si>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</si>
  <si>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</si>
  <si>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</si>
  <si>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</si>
  <si>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</si>
  <si>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</si>
  <si>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</si>
  <si>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</si>
  <si>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</si>
  <si>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</si>
  <si>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</si>
  <si>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</si>
  <si>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</si>
  <si>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</si>
  <si>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</si>
  <si>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</si>
  <si>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</si>
  <si>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</si>
  <si>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</si>
  <si>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</si>
  <si>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</si>
  <si>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</si>
  <si>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</si>
  <si>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</si>
  <si>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</si>
  <si>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</si>
  <si>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</si>
  <si>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</si>
  <si>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</si>
  <si>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</si>
  <si>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</si>
  <si>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</si>
  <si>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</si>
  <si>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</si>
  <si>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</si>
  <si>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</si>
  <si>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</si>
  <si>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</si>
  <si>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</si>
  <si>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</si>
  <si>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</si>
  <si>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</si>
  <si>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</si>
  <si>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</si>
  <si>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</si>
  <si>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</si>
  <si>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</si>
  <si>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</si>
  <si>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</si>
  <si>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</si>
  <si>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</si>
  <si>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</si>
  <si>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</si>
  <si>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</si>
  <si>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</si>
  <si>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</si>
  <si>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</si>
  <si>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</si>
  <si>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</si>
  <si>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</si>
  <si>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</si>
  <si>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</si>
  <si>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</si>
  <si>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</si>
  <si>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</si>
  <si>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</si>
  <si>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</si>
  <si>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</si>
  <si>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</si>
  <si>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</si>
  <si>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</si>
  <si>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</si>
  <si>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</si>
  <si>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</si>
  <si>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</si>
  <si>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</si>
  <si>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</si>
  <si>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</si>
  <si>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</si>
  <si>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</si>
  <si>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</si>
  <si>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</si>
  <si>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</si>
  <si>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</si>
  <si>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</si>
  <si>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</si>
  <si>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</si>
  <si>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</si>
  <si>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</si>
  <si>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</si>
  <si>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</si>
  <si>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</si>
  <si>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</si>
  <si>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</si>
  <si>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</si>
  <si>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</si>
  <si>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</si>
  <si>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</si>
  <si>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</si>
  <si>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</si>
  <si>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</si>
  <si>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</si>
  <si>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</si>
  <si>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</si>
  <si>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</si>
  <si>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</si>
  <si>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</si>
  <si>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</si>
  <si>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</si>
  <si>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</si>
  <si>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</si>
  <si>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</si>
  <si>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</si>
  <si>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</si>
  <si>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</si>
  <si>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</si>
  <si>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</si>
  <si>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</si>
  <si>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</si>
  <si>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</si>
  <si>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</si>
  <si>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</si>
  <si>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</si>
  <si>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</si>
  <si>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</si>
  <si>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</si>
  <si>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</si>
  <si>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</si>
  <si>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</si>
  <si>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</si>
  <si>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</si>
  <si>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</si>
  <si>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</si>
  <si>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</si>
  <si>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</si>
  <si>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</si>
  <si>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</si>
  <si>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</si>
  <si>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</si>
  <si>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</si>
  <si>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</si>
  <si>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</si>
  <si>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</si>
  <si>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</si>
  <si>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</si>
  <si>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</si>
  <si>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</si>
  <si>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</si>
  <si>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</si>
  <si>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</si>
  <si>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</si>
  <si>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</si>
  <si>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</si>
  <si>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</si>
  <si>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</si>
  <si>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</si>
  <si>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</si>
  <si>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</si>
  <si>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</si>
  <si>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</si>
  <si>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</si>
  <si>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</si>
  <si>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</si>
  <si>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</si>
  <si>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</si>
  <si>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</si>
  <si>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</si>
  <si>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</si>
  <si>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</si>
  <si>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</si>
  <si>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</si>
  <si>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</si>
  <si>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</si>
  <si>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</si>
  <si>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</si>
  <si>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</si>
  <si>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</si>
  <si>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</si>
  <si>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</si>
  <si>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</si>
  <si>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</si>
  <si>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</si>
  <si>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</si>
  <si>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</si>
  <si>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</si>
  <si>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</si>
  <si>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</si>
  <si>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</si>
  <si>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</si>
  <si>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</si>
  <si>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</si>
  <si>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</si>
  <si>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</si>
  <si>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</si>
  <si>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</si>
  <si>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</si>
  <si>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</si>
  <si>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</si>
  <si>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</si>
  <si>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</si>
  <si>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</si>
  <si>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</si>
  <si>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</si>
  <si>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</si>
  <si>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</si>
  <si>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</si>
  <si>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</si>
  <si>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</si>
  <si>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</si>
  <si>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</si>
  <si>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</si>
  <si>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</si>
  <si>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</si>
  <si>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</si>
  <si>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</si>
  <si>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</si>
  <si>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</si>
  <si>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</si>
  <si>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</si>
  <si>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</si>
  <si>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</si>
  <si>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</si>
  <si>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</si>
  <si>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</si>
  <si>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</si>
  <si>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</si>
  <si>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</si>
  <si>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</si>
  <si>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</si>
  <si>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</si>
  <si>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</si>
  <si>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</si>
  <si>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</si>
  <si>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</si>
  <si>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</si>
  <si>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</si>
  <si>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</si>
  <si>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</si>
  <si>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</si>
  <si>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</si>
  <si>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</si>
  <si>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</si>
  <si>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</si>
  <si>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</si>
  <si>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</si>
  <si>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</si>
  <si>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</si>
  <si>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</si>
  <si>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</si>
  <si>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</si>
  <si>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</si>
  <si>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</si>
  <si>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</si>
  <si>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</si>
  <si>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</si>
  <si>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</si>
  <si>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</si>
  <si>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</si>
  <si>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</si>
  <si>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</si>
  <si>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</si>
  <si>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</si>
  <si>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</si>
  <si>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</si>
  <si>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</si>
  <si>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</si>
  <si>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</si>
  <si>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</si>
  <si>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</si>
  <si>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</si>
  <si>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</si>
  <si>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</si>
  <si>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</si>
  <si>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</si>
  <si>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</si>
  <si>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</si>
  <si>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</si>
  <si>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</si>
  <si>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</si>
  <si>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</si>
  <si>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</si>
  <si>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</si>
  <si>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</si>
  <si>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</si>
  <si>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</si>
  <si>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</si>
  <si>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</si>
  <si>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</si>
  <si>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</si>
  <si>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</si>
  <si>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</si>
  <si>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</si>
  <si>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</si>
  <si>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</si>
  <si>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</si>
  <si>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</si>
  <si>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</si>
  <si>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</si>
  <si>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</si>
  <si>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</si>
  <si>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</si>
  <si>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</si>
  <si>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</si>
  <si>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</si>
  <si>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</si>
  <si>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</si>
  <si>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</si>
  <si>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</si>
  <si>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</si>
  <si>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</si>
  <si>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</si>
  <si>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</si>
  <si>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</si>
  <si>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</si>
  <si>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</si>
  <si>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</si>
  <si>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</si>
  <si>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</si>
  <si>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</si>
  <si>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</si>
  <si>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</si>
  <si>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</si>
  <si>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</si>
  <si>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</si>
  <si>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</si>
  <si>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</si>
  <si>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</si>
  <si>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</si>
  <si>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</si>
  <si>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</si>
  <si>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</si>
  <si>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</si>
  <si>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</si>
  <si>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</si>
  <si>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</si>
  <si>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</si>
  <si>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</si>
  <si>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</si>
  <si>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</si>
  <si>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</si>
  <si>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</si>
  <si>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</si>
  <si>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</si>
  <si>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</si>
  <si>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</si>
  <si>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</si>
  <si>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</si>
  <si>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</si>
  <si>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</si>
  <si>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</si>
  <si>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</si>
  <si>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</si>
  <si>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</si>
  <si>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</si>
  <si>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</si>
  <si>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</si>
  <si>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</si>
  <si>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</si>
  <si>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</si>
  <si>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</si>
  <si>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</si>
  <si>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</si>
  <si>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</si>
  <si>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</si>
  <si>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</si>
  <si>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</si>
  <si>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</si>
  <si>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</si>
  <si>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</si>
  <si>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</si>
  <si>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</si>
  <si>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</si>
  <si>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</si>
  <si>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</si>
  <si>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</si>
  <si>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</si>
  <si>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</si>
  <si>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</si>
  <si>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</si>
  <si>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</si>
  <si>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</si>
  <si>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</si>
  <si>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</si>
  <si>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</si>
  <si>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</si>
  <si>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</si>
  <si>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</si>
  <si>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</si>
  <si>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</si>
  <si>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</si>
  <si>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</si>
  <si>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</si>
  <si>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</si>
  <si>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</si>
  <si>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</si>
  <si>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</si>
  <si>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</si>
  <si>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</si>
  <si>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</si>
  <si>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</si>
  <si>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</si>
  <si>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</si>
  <si>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</si>
  <si>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</si>
  <si>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</si>
  <si>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</si>
  <si>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</si>
  <si>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</si>
  <si>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</si>
  <si>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</si>
  <si>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</si>
  <si>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</si>
  <si>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</si>
  <si>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</si>
  <si>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</si>
  <si>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</si>
  <si>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</si>
  <si>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</si>
  <si>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</si>
  <si>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</si>
  <si>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</si>
  <si>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</si>
  <si>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</si>
  <si>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</si>
  <si>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</si>
  <si>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</si>
  <si>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</si>
  <si>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</si>
  <si>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</si>
  <si>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</si>
  <si>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</si>
  <si>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</si>
  <si>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</si>
  <si>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</si>
  <si>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</si>
  <si>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</si>
  <si>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</si>
  <si>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</si>
  <si>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</si>
  <si>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</si>
  <si>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</si>
  <si>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</si>
  <si>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</si>
  <si>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</si>
  <si>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</si>
  <si>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</si>
  <si>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</si>
  <si>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</si>
  <si>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</si>
  <si>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</si>
  <si>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</si>
  <si>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</si>
  <si>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</si>
  <si>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</si>
  <si>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</si>
  <si>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</si>
  <si>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</si>
  <si>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</si>
  <si>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</si>
  <si>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</si>
  <si>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</si>
  <si>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</si>
  <si>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</si>
  <si>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</si>
  <si>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</si>
  <si>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</si>
  <si>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</si>
  <si>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</si>
  <si>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</si>
  <si>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</si>
  <si>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</si>
  <si>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</si>
  <si>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</si>
  <si>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</si>
  <si>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</si>
  <si>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</si>
  <si>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</si>
  <si>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</si>
  <si>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</si>
  <si>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</si>
  <si>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</si>
  <si>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</si>
  <si>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</si>
  <si>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</si>
  <si>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</si>
  <si>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</si>
  <si>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</si>
  <si>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</si>
  <si>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</si>
  <si>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</si>
  <si>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</si>
  <si>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</si>
  <si>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</si>
  <si>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</si>
  <si>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</si>
  <si>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</si>
  <si>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</si>
  <si>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</si>
  <si>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</si>
  <si>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</si>
  <si>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</si>
  <si>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</si>
  <si>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</si>
  <si>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</si>
  <si>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</si>
  <si>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</si>
  <si>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</si>
  <si>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</si>
  <si>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</si>
  <si>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</si>
  <si>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</si>
  <si>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</si>
  <si>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</si>
  <si>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</si>
  <si>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</si>
  <si>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</si>
  <si>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</si>
  <si>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</si>
  <si>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</si>
  <si>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</si>
  <si>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</si>
  <si>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</si>
  <si>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</si>
  <si>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</si>
  <si>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</si>
  <si>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</si>
  <si>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</si>
  <si>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</si>
  <si>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</si>
  <si>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</si>
  <si>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</si>
  <si>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</si>
  <si>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</si>
  <si>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</si>
  <si>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</si>
  <si>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</si>
  <si>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</si>
  <si>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</si>
  <si>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</si>
  <si>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</si>
  <si>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</si>
  <si>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</si>
  <si>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</si>
  <si>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</si>
  <si>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</si>
  <si>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</si>
  <si>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</si>
  <si>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</si>
  <si>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</si>
  <si>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</si>
  <si>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</si>
  <si>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</si>
  <si>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</si>
  <si>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</si>
  <si>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</si>
  <si>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</si>
  <si>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</si>
  <si>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</si>
  <si>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</si>
  <si>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</si>
  <si>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</si>
  <si>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</si>
  <si>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</si>
  <si>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</si>
  <si>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</si>
  <si>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</si>
  <si>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</si>
  <si>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</si>
  <si>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</si>
  <si>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</si>
  <si>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</si>
  <si>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</si>
  <si>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</si>
  <si>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</si>
  <si>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</si>
  <si>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</si>
  <si>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</si>
  <si>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</si>
  <si>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</si>
  <si>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</si>
  <si>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</si>
  <si>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</si>
  <si>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</si>
  <si>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</si>
  <si>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</si>
  <si>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</si>
  <si>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</si>
  <si>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</si>
  <si>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</si>
  <si>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</si>
  <si>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</si>
  <si>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</si>
  <si>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</si>
  <si>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</si>
  <si>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</si>
  <si>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</si>
  <si>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</si>
  <si>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</si>
  <si>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</si>
  <si>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</si>
  <si>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</si>
  <si>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</si>
  <si>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</si>
  <si>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34013</t>
  </si>
  <si>
    <t>HARELBEKE</t>
  </si>
  <si>
    <t>Paarden&amp;pony's 200 - 600 kg</t>
  </si>
  <si>
    <t>Paarden&amp;pony's &lt; 200 kg</t>
  </si>
  <si>
    <t>referentietaak LNE (2017); Jaarverslag De Lijn (2015)</t>
  </si>
  <si>
    <t>op basis van VEA (maart 2018) en Inventaris Hernieuwbare Energiebronnen (juni 2018)</t>
  </si>
  <si>
    <t>VEA (januari 2017)</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</si>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</sst>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182056.0961027696</c:v>
                </c:pt>
                <c:pt idx="1">
                  <c:v>178224.00806227388</c:v>
                </c:pt>
                <c:pt idx="2">
                  <c:v>2236.895</c:v>
                </c:pt>
                <c:pt idx="3">
                  <c:v>40245.994520640197</c:v>
                </c:pt>
                <c:pt idx="4">
                  <c:v>150135.18938024013</c:v>
                </c:pt>
                <c:pt idx="5">
                  <c:v>203390.32987600536</c:v>
                </c:pt>
                <c:pt idx="6">
                  <c:v>1474.2782014817533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182056.0961027696</c:v>
                </c:pt>
                <c:pt idx="1">
                  <c:v>178224.00806227388</c:v>
                </c:pt>
                <c:pt idx="2">
                  <c:v>2236.895</c:v>
                </c:pt>
                <c:pt idx="3">
                  <c:v>40245.994520640197</c:v>
                </c:pt>
                <c:pt idx="4">
                  <c:v>150135.18938024013</c:v>
                </c:pt>
                <c:pt idx="5">
                  <c:v>203390.32987600536</c:v>
                </c:pt>
                <c:pt idx="6">
                  <c:v>1474.2782014817533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32138.167065943315</c:v>
                </c:pt>
                <c:pt idx="1">
                  <c:v>34850.946948050507</c:v>
                </c:pt>
                <c:pt idx="2">
                  <c:v>419.25967936707781</c:v>
                </c:pt>
                <c:pt idx="3">
                  <c:v>8900.4944707540053</c:v>
                </c:pt>
                <c:pt idx="4">
                  <c:v>28226.049993592678</c:v>
                </c:pt>
                <c:pt idx="5">
                  <c:v>52156.604190848353</c:v>
                </c:pt>
                <c:pt idx="6">
                  <c:v>381.79000788480846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16160"/>
        <c:axId val="183632640"/>
      </c:barChart>
      <c:catAx>
        <c:axId val="183516160"/>
        <c:scaling>
          <c:orientation val="minMax"/>
        </c:scaling>
        <c:axPos val="b"/>
        <c:numFmt formatCode="General" sourceLinked="0"/>
        <c:tickLblPos val="nextTo"/>
        <c:crossAx val="183632640"/>
        <c:crosses val="autoZero"/>
        <c:auto val="1"/>
        <c:lblAlgn val="ctr"/>
        <c:lblOffset val="100"/>
      </c:catAx>
      <c:valAx>
        <c:axId val="183632640"/>
        <c:scaling>
          <c:orientation val="minMax"/>
        </c:scaling>
        <c:axPos val="l"/>
        <c:majorGridlines/>
        <c:numFmt formatCode="#,##0" sourceLinked="1"/>
        <c:tickLblPos val="nextTo"/>
        <c:crossAx val="18351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32138.167065943315</c:v>
                </c:pt>
                <c:pt idx="1">
                  <c:v>34850.946948050507</c:v>
                </c:pt>
                <c:pt idx="2">
                  <c:v>419.25967936707781</c:v>
                </c:pt>
                <c:pt idx="3">
                  <c:v>8900.4944707540053</c:v>
                </c:pt>
                <c:pt idx="4">
                  <c:v>28226.049993592678</c:v>
                </c:pt>
                <c:pt idx="5">
                  <c:v>52156.604190848353</c:v>
                </c:pt>
                <c:pt idx="6">
                  <c:v>381.79000788480846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34013</v>
      </c>
      <c r="B6" s="415"/>
      <c r="C6" s="416"/>
    </row>
    <row r="7" spans="1:7" s="413" customFormat="1" ht="15.75" customHeight="1">
      <c r="A7" s="417" t="str">
        <f>txtMunicipality</f>
        <v>HARELBEKE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11815</v>
      </c>
      <c r="C9" s="342">
        <v>11608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1151.3499999999999</v>
      </c>
    </row>
    <row r="15" spans="1:6">
      <c r="A15" s="348" t="s">
        <v>184</v>
      </c>
      <c r="B15" s="334">
        <v>16</v>
      </c>
    </row>
    <row r="16" spans="1:6">
      <c r="A16" s="348" t="s">
        <v>6</v>
      </c>
      <c r="B16" s="334">
        <v>399</v>
      </c>
    </row>
    <row r="17" spans="1:6">
      <c r="A17" s="348" t="s">
        <v>7</v>
      </c>
      <c r="B17" s="334">
        <v>426</v>
      </c>
    </row>
    <row r="18" spans="1:6">
      <c r="A18" s="348" t="s">
        <v>8</v>
      </c>
      <c r="B18" s="334">
        <v>574</v>
      </c>
    </row>
    <row r="19" spans="1:6">
      <c r="A19" s="348" t="s">
        <v>9</v>
      </c>
      <c r="B19" s="334">
        <v>598</v>
      </c>
    </row>
    <row r="20" spans="1:6">
      <c r="A20" s="348" t="s">
        <v>10</v>
      </c>
      <c r="B20" s="334">
        <v>541</v>
      </c>
    </row>
    <row r="21" spans="1:6">
      <c r="A21" s="348" t="s">
        <v>11</v>
      </c>
      <c r="B21" s="334">
        <v>2106</v>
      </c>
    </row>
    <row r="22" spans="1:6">
      <c r="A22" s="348" t="s">
        <v>12</v>
      </c>
      <c r="B22" s="334">
        <v>7345</v>
      </c>
    </row>
    <row r="23" spans="1:6">
      <c r="A23" s="348" t="s">
        <v>13</v>
      </c>
      <c r="B23" s="334">
        <v>66</v>
      </c>
    </row>
    <row r="24" spans="1:6">
      <c r="A24" s="348" t="s">
        <v>14</v>
      </c>
      <c r="B24" s="334">
        <v>4</v>
      </c>
    </row>
    <row r="25" spans="1:6">
      <c r="A25" s="348" t="s">
        <v>15</v>
      </c>
      <c r="B25" s="334">
        <v>446</v>
      </c>
    </row>
    <row r="26" spans="1:6">
      <c r="A26" s="348" t="s">
        <v>16</v>
      </c>
      <c r="B26" s="334">
        <v>71</v>
      </c>
    </row>
    <row r="27" spans="1:6">
      <c r="A27" s="348" t="s">
        <v>17</v>
      </c>
      <c r="B27" s="334">
        <v>0</v>
      </c>
    </row>
    <row r="28" spans="1:6" s="356" customFormat="1">
      <c r="A28" s="355" t="s">
        <v>18</v>
      </c>
      <c r="B28" s="355">
        <v>117075</v>
      </c>
    </row>
    <row r="29" spans="1:6">
      <c r="A29" s="355" t="s">
        <v>812</v>
      </c>
      <c r="B29" s="355">
        <v>53</v>
      </c>
      <c r="C29" s="356"/>
      <c r="D29" s="356"/>
      <c r="E29" s="356"/>
      <c r="F29" s="356"/>
    </row>
    <row r="30" spans="1:6">
      <c r="A30" s="355" t="s">
        <v>813</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1132736</v>
      </c>
      <c r="E35" s="334">
        <v>0</v>
      </c>
      <c r="F35" s="334">
        <v>0</v>
      </c>
    </row>
    <row r="36" spans="1:6">
      <c r="A36" s="348" t="s">
        <v>25</v>
      </c>
      <c r="B36" s="348" t="s">
        <v>27</v>
      </c>
      <c r="C36" s="334">
        <v>3</v>
      </c>
      <c r="D36" s="334">
        <v>555837</v>
      </c>
      <c r="E36" s="334">
        <v>13</v>
      </c>
      <c r="F36" s="334">
        <v>154718</v>
      </c>
    </row>
    <row r="37" spans="1:6">
      <c r="A37" s="348" t="s">
        <v>25</v>
      </c>
      <c r="B37" s="348" t="s">
        <v>28</v>
      </c>
      <c r="C37" s="334">
        <v>0</v>
      </c>
      <c r="D37" s="334">
        <v>0</v>
      </c>
      <c r="E37" s="334">
        <v>0</v>
      </c>
      <c r="F37" s="334">
        <v>0</v>
      </c>
    </row>
    <row r="38" spans="1:6">
      <c r="A38" s="348" t="s">
        <v>25</v>
      </c>
      <c r="B38" s="348" t="s">
        <v>29</v>
      </c>
      <c r="C38" s="334">
        <v>0</v>
      </c>
      <c r="D38" s="334">
        <v>0</v>
      </c>
      <c r="E38" s="334">
        <v>0</v>
      </c>
      <c r="F38" s="334">
        <v>9609</v>
      </c>
    </row>
    <row r="39" spans="1:6">
      <c r="A39" s="348" t="s">
        <v>30</v>
      </c>
      <c r="B39" s="348" t="s">
        <v>31</v>
      </c>
      <c r="C39" s="334">
        <v>9003</v>
      </c>
      <c r="D39" s="334">
        <v>123129107.666631</v>
      </c>
      <c r="E39" s="334">
        <v>11704</v>
      </c>
      <c r="F39" s="334">
        <v>38943811</v>
      </c>
    </row>
    <row r="40" spans="1:6">
      <c r="A40" s="348" t="s">
        <v>30</v>
      </c>
      <c r="B40" s="348" t="s">
        <v>29</v>
      </c>
      <c r="C40" s="334">
        <v>0</v>
      </c>
      <c r="D40" s="334">
        <v>0</v>
      </c>
      <c r="E40" s="334">
        <v>0</v>
      </c>
      <c r="F40" s="334">
        <v>0</v>
      </c>
    </row>
    <row r="41" spans="1:6">
      <c r="A41" s="348" t="s">
        <v>32</v>
      </c>
      <c r="B41" s="348" t="s">
        <v>33</v>
      </c>
      <c r="C41" s="334">
        <v>173</v>
      </c>
      <c r="D41" s="334">
        <v>6070611</v>
      </c>
      <c r="E41" s="334">
        <v>354</v>
      </c>
      <c r="F41" s="334">
        <v>12365398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3110544</v>
      </c>
      <c r="E44" s="334">
        <v>53</v>
      </c>
      <c r="F44" s="334">
        <v>4876723</v>
      </c>
    </row>
    <row r="45" spans="1:6">
      <c r="A45" s="348" t="s">
        <v>32</v>
      </c>
      <c r="B45" s="348" t="s">
        <v>37</v>
      </c>
      <c r="C45" s="334">
        <v>4</v>
      </c>
      <c r="D45" s="334">
        <v>4177078</v>
      </c>
      <c r="E45" s="334">
        <v>10</v>
      </c>
      <c r="F45" s="334">
        <v>3367584</v>
      </c>
    </row>
    <row r="46" spans="1:6">
      <c r="A46" s="348" t="s">
        <v>32</v>
      </c>
      <c r="B46" s="348" t="s">
        <v>38</v>
      </c>
      <c r="C46" s="334">
        <v>0</v>
      </c>
      <c r="D46" s="334">
        <v>0</v>
      </c>
      <c r="E46" s="334">
        <v>4</v>
      </c>
      <c r="F46" s="334">
        <v>80347</v>
      </c>
    </row>
    <row r="47" spans="1:6">
      <c r="A47" s="348" t="s">
        <v>32</v>
      </c>
      <c r="B47" s="348" t="s">
        <v>39</v>
      </c>
      <c r="C47" s="334">
        <v>13</v>
      </c>
      <c r="D47" s="334">
        <v>6296039</v>
      </c>
      <c r="E47" s="334">
        <v>17</v>
      </c>
      <c r="F47" s="334">
        <v>3796133</v>
      </c>
    </row>
    <row r="48" spans="1:6">
      <c r="A48" s="348" t="s">
        <v>32</v>
      </c>
      <c r="B48" s="348" t="s">
        <v>29</v>
      </c>
      <c r="C48" s="334">
        <v>0</v>
      </c>
      <c r="D48" s="334">
        <v>149458</v>
      </c>
      <c r="E48" s="334">
        <v>0</v>
      </c>
      <c r="F48" s="334">
        <v>25552</v>
      </c>
    </row>
    <row r="49" spans="1:6">
      <c r="A49" s="348" t="s">
        <v>32</v>
      </c>
      <c r="B49" s="348" t="s">
        <v>40</v>
      </c>
      <c r="C49" s="334">
        <v>15</v>
      </c>
      <c r="D49" s="334">
        <v>49493501</v>
      </c>
      <c r="E49" s="334">
        <v>24</v>
      </c>
      <c r="F49" s="334">
        <v>16280425</v>
      </c>
    </row>
    <row r="50" spans="1:6">
      <c r="A50" s="348" t="s">
        <v>32</v>
      </c>
      <c r="B50" s="348" t="s">
        <v>41</v>
      </c>
      <c r="C50" s="334">
        <v>23</v>
      </c>
      <c r="D50" s="334">
        <v>11568179</v>
      </c>
      <c r="E50" s="334">
        <v>32</v>
      </c>
      <c r="F50" s="334">
        <v>4468541</v>
      </c>
    </row>
    <row r="51" spans="1:6">
      <c r="A51" s="348" t="s">
        <v>42</v>
      </c>
      <c r="B51" s="348" t="s">
        <v>43</v>
      </c>
      <c r="C51" s="334">
        <v>24</v>
      </c>
      <c r="D51" s="334">
        <v>41151214</v>
      </c>
      <c r="E51" s="334">
        <v>76</v>
      </c>
      <c r="F51" s="334">
        <v>2128434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115</v>
      </c>
      <c r="F54" s="334">
        <v>2236895</v>
      </c>
    </row>
    <row r="55" spans="1:6">
      <c r="A55" s="348" t="s">
        <v>46</v>
      </c>
      <c r="B55" s="348" t="s">
        <v>29</v>
      </c>
      <c r="C55" s="334">
        <v>0</v>
      </c>
      <c r="D55" s="334">
        <v>0</v>
      </c>
      <c r="E55" s="334">
        <v>0</v>
      </c>
      <c r="F55" s="334">
        <v>0</v>
      </c>
    </row>
    <row r="56" spans="1:6">
      <c r="A56" s="348" t="s">
        <v>48</v>
      </c>
      <c r="B56" s="348" t="s">
        <v>29</v>
      </c>
      <c r="C56" s="334">
        <v>137</v>
      </c>
      <c r="D56" s="334">
        <v>2469413</v>
      </c>
      <c r="E56" s="334">
        <v>271</v>
      </c>
      <c r="F56" s="334">
        <v>1192937</v>
      </c>
    </row>
    <row r="57" spans="1:6">
      <c r="A57" s="348" t="s">
        <v>49</v>
      </c>
      <c r="B57" s="348" t="s">
        <v>50</v>
      </c>
      <c r="C57" s="334">
        <v>91</v>
      </c>
      <c r="D57" s="334">
        <v>9148948</v>
      </c>
      <c r="E57" s="334">
        <v>198</v>
      </c>
      <c r="F57" s="334">
        <v>11838127</v>
      </c>
    </row>
    <row r="58" spans="1:6">
      <c r="A58" s="348" t="s">
        <v>49</v>
      </c>
      <c r="B58" s="348" t="s">
        <v>51</v>
      </c>
      <c r="C58" s="334">
        <v>24</v>
      </c>
      <c r="D58" s="334">
        <v>985105</v>
      </c>
      <c r="E58" s="334">
        <v>43</v>
      </c>
      <c r="F58" s="334">
        <v>884904</v>
      </c>
    </row>
    <row r="59" spans="1:6">
      <c r="A59" s="348" t="s">
        <v>49</v>
      </c>
      <c r="B59" s="348" t="s">
        <v>52</v>
      </c>
      <c r="C59" s="334">
        <v>222</v>
      </c>
      <c r="D59" s="334">
        <v>77835491</v>
      </c>
      <c r="E59" s="334">
        <v>400</v>
      </c>
      <c r="F59" s="334">
        <v>36253281</v>
      </c>
    </row>
    <row r="60" spans="1:6">
      <c r="A60" s="348" t="s">
        <v>49</v>
      </c>
      <c r="B60" s="348" t="s">
        <v>53</v>
      </c>
      <c r="C60" s="334">
        <v>73</v>
      </c>
      <c r="D60" s="334">
        <v>3548422</v>
      </c>
      <c r="E60" s="334">
        <v>97</v>
      </c>
      <c r="F60" s="334">
        <v>1815378</v>
      </c>
    </row>
    <row r="61" spans="1:6">
      <c r="A61" s="348" t="s">
        <v>49</v>
      </c>
      <c r="B61" s="348" t="s">
        <v>54</v>
      </c>
      <c r="C61" s="334">
        <v>265</v>
      </c>
      <c r="D61" s="334">
        <v>11746828</v>
      </c>
      <c r="E61" s="334">
        <v>522</v>
      </c>
      <c r="F61" s="334">
        <v>9666022</v>
      </c>
    </row>
    <row r="62" spans="1:6">
      <c r="A62" s="348" t="s">
        <v>49</v>
      </c>
      <c r="B62" s="348" t="s">
        <v>55</v>
      </c>
      <c r="C62" s="334">
        <v>19</v>
      </c>
      <c r="D62" s="334">
        <v>2545911</v>
      </c>
      <c r="E62" s="334">
        <v>23</v>
      </c>
      <c r="F62" s="334">
        <v>549278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45744</v>
      </c>
      <c r="E65" s="334">
        <v>0</v>
      </c>
      <c r="F65" s="334">
        <v>2843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164633</v>
      </c>
      <c r="E68" s="334">
        <v>16</v>
      </c>
      <c r="F68" s="334">
        <v>143706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63606770</v>
      </c>
      <c r="E73" s="476">
        <v>66159082.633877918</v>
      </c>
    </row>
    <row r="74" spans="1:6">
      <c r="A74" s="348" t="s">
        <v>64</v>
      </c>
      <c r="B74" s="348" t="s">
        <v>667</v>
      </c>
      <c r="C74" s="1212" t="s">
        <v>669</v>
      </c>
      <c r="D74" s="476">
        <v>8187780.4870231729</v>
      </c>
      <c r="E74" s="476">
        <v>8279919.3679853212</v>
      </c>
    </row>
    <row r="75" spans="1:6">
      <c r="A75" s="348" t="s">
        <v>65</v>
      </c>
      <c r="B75" s="348" t="s">
        <v>666</v>
      </c>
      <c r="C75" s="1212" t="s">
        <v>670</v>
      </c>
      <c r="D75" s="476">
        <v>38042425</v>
      </c>
      <c r="E75" s="476">
        <v>48448621.592606574</v>
      </c>
    </row>
    <row r="76" spans="1:6">
      <c r="A76" s="348" t="s">
        <v>65</v>
      </c>
      <c r="B76" s="348" t="s">
        <v>667</v>
      </c>
      <c r="C76" s="1212" t="s">
        <v>671</v>
      </c>
      <c r="D76" s="476">
        <v>2867560.4870231729</v>
      </c>
      <c r="E76" s="476">
        <v>2898209.3977296893</v>
      </c>
    </row>
    <row r="77" spans="1:6">
      <c r="A77" s="348" t="s">
        <v>66</v>
      </c>
      <c r="B77" s="348" t="s">
        <v>666</v>
      </c>
      <c r="C77" s="1212" t="s">
        <v>672</v>
      </c>
      <c r="D77" s="476">
        <v>75190882</v>
      </c>
      <c r="E77" s="476">
        <v>82623082.869549736</v>
      </c>
    </row>
    <row r="78" spans="1:6">
      <c r="A78" s="341" t="s">
        <v>66</v>
      </c>
      <c r="B78" s="341" t="s">
        <v>667</v>
      </c>
      <c r="C78" s="341" t="s">
        <v>673</v>
      </c>
      <c r="D78" s="1213">
        <v>18562926</v>
      </c>
      <c r="E78" s="1213">
        <v>19318076.508606836</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395971.02595365379</v>
      </c>
      <c r="C83" s="476">
        <v>395971.02595365379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3527.4803501596771</v>
      </c>
    </row>
    <row r="91" spans="1:6">
      <c r="A91" s="348" t="s">
        <v>68</v>
      </c>
      <c r="B91" s="334">
        <v>4513.7622889337244</v>
      </c>
    </row>
    <row r="92" spans="1:6">
      <c r="A92" s="341" t="s">
        <v>69</v>
      </c>
      <c r="B92" s="342">
        <v>13216.748292539658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95</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1</v>
      </c>
    </row>
    <row r="131" spans="1:6">
      <c r="A131" s="348" t="s">
        <v>296</v>
      </c>
      <c r="B131" s="334">
        <v>6</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155473.0351512979</v>
      </c>
      <c r="C3" s="43" t="s">
        <v>170</v>
      </c>
      <c r="D3" s="43"/>
      <c r="E3" s="154"/>
      <c r="F3" s="43"/>
      <c r="G3" s="43"/>
      <c r="H3" s="43"/>
      <c r="I3" s="43"/>
      <c r="J3" s="43"/>
      <c r="K3" s="96"/>
    </row>
    <row r="4" spans="1:11">
      <c r="A4" s="383" t="s">
        <v>171</v>
      </c>
      <c r="B4" s="49">
        <f>IF(ISERROR('SEAP template'!B69),0,'SEAP template'!B69)</f>
        <v>43582.49093163306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4412.3929411764711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0.18742930685931963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6303.4184873949598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29976.428571428572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0.21027916892684595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2236.895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2236.895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0.18742930685931963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419.25967936707781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38943.811000000002</v>
      </c>
      <c r="C5" s="17">
        <f>IF(ISERROR('Eigen informatie GS &amp; warmtenet'!B57),0,'Eigen informatie GS &amp; warmtenet'!B57)</f>
        <v>0</v>
      </c>
      <c r="D5" s="30">
        <f>(SUM(HH_hh_gas_kWh,HH_rest_gas_kWh)/1000)*0.902</f>
        <v>111062.45511530116</v>
      </c>
      <c r="E5" s="17">
        <f>B46*B57</f>
        <v>6864.8823494253147</v>
      </c>
      <c r="F5" s="17">
        <f>B51*B62</f>
        <v>0</v>
      </c>
      <c r="G5" s="18"/>
      <c r="H5" s="17"/>
      <c r="I5" s="17"/>
      <c r="J5" s="17">
        <f>B50*B61+C50*C61</f>
        <v>0</v>
      </c>
      <c r="K5" s="17"/>
      <c r="L5" s="17"/>
      <c r="M5" s="17"/>
      <c r="N5" s="17">
        <f>B48*B59+C48*C59</f>
        <v>19496.718682442737</v>
      </c>
      <c r="O5" s="17">
        <f>B69*B70*B71</f>
        <v>469</v>
      </c>
      <c r="P5" s="17">
        <f>B77*B78*B79/1000-B77*B78*B79/1000/B80</f>
        <v>705.4666666666667</v>
      </c>
    </row>
    <row r="6" spans="1:16">
      <c r="A6" s="16" t="s">
        <v>624</v>
      </c>
      <c r="B6" s="843">
        <f>kWh_PV_kleiner_dan_10kW</f>
        <v>4513.7622889337244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43457.573288933723</v>
      </c>
      <c r="C8" s="21">
        <f>C5</f>
        <v>0</v>
      </c>
      <c r="D8" s="21">
        <f>D5</f>
        <v>111062.45511530116</v>
      </c>
      <c r="E8" s="21">
        <f>E5</f>
        <v>6864.8823494253147</v>
      </c>
      <c r="F8" s="21">
        <f>F5</f>
        <v>0</v>
      </c>
      <c r="G8" s="21"/>
      <c r="H8" s="21"/>
      <c r="I8" s="21"/>
      <c r="J8" s="21">
        <f>J5</f>
        <v>0</v>
      </c>
      <c r="K8" s="21"/>
      <c r="L8" s="21">
        <f>L5</f>
        <v>0</v>
      </c>
      <c r="M8" s="21">
        <f>M5</f>
        <v>0</v>
      </c>
      <c r="N8" s="21">
        <f>N5</f>
        <v>19496.718682442737</v>
      </c>
      <c r="O8" s="21">
        <f>O5</f>
        <v>469</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0.18742930685931963</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8145.2228393329315</v>
      </c>
      <c r="C12" s="23">
        <f ca="1">C10*C8</f>
        <v>0</v>
      </c>
      <c r="D12" s="23">
        <f>D8*D10</f>
        <v>22434.615933290836</v>
      </c>
      <c r="E12" s="23">
        <f>E10*E8</f>
        <v>1558.3282933195464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11815</v>
      </c>
      <c r="C28" s="36"/>
      <c r="D28" s="228"/>
    </row>
    <row r="29" spans="1:7" s="15" customFormat="1">
      <c r="A29" s="230" t="s">
        <v>699</v>
      </c>
      <c r="B29" s="37">
        <f>SUM(HH_hh_gas_aantal,HH_rest_gas_aantal)</f>
        <v>9003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9003</v>
      </c>
      <c r="C32" s="167">
        <f>IF(ISERROR(B32/SUM($B$32,$B$34,$B$35,$B$36,$B$38,$B$39)*100),0,B32/SUM($B$32,$B$34,$B$35,$B$36,$B$38,$B$39)*100)</f>
        <v>76.439123790117165</v>
      </c>
      <c r="D32" s="233"/>
      <c r="G32" s="15"/>
    </row>
    <row r="33" spans="1:7">
      <c r="A33" s="171" t="s">
        <v>72</v>
      </c>
      <c r="B33" s="34" t="s">
        <v>111</v>
      </c>
      <c r="C33" s="167"/>
      <c r="D33" s="233"/>
      <c r="G33" s="15"/>
    </row>
    <row r="34" spans="1:7">
      <c r="A34" s="171" t="s">
        <v>73</v>
      </c>
      <c r="B34" s="33">
        <f>IF((($B$28-$B$32-$B$39-$B$77-$B$38)*C20/100)&lt;0,0,($B$28-$B$32-$B$39-$B$77-$B$38)*C20/100)</f>
        <v>303.515625</v>
      </c>
      <c r="C34" s="167">
        <f>IF(ISERROR(B34/SUM($B$32,$B$34,$B$35,$B$36,$B$38,$B$39)*100),0,B34/SUM($B$32,$B$34,$B$35,$B$36,$B$38,$B$39)*100)</f>
        <v>2.5769708354559349</v>
      </c>
      <c r="D34" s="233"/>
      <c r="G34" s="15"/>
    </row>
    <row r="35" spans="1:7">
      <c r="A35" s="171" t="s">
        <v>74</v>
      </c>
      <c r="B35" s="33">
        <f>IF((($B$28-$B$32-$B$39-$B$77-$B$38)*C21/100)&lt;0,0,($B$28-$B$32-$B$39-$B$77-$B$38)*C21/100)</f>
        <v>2167.96875</v>
      </c>
      <c r="C35" s="167">
        <f>IF(ISERROR(B35/SUM($B$32,$B$34,$B$35,$B$36,$B$38,$B$39)*100),0,B35/SUM($B$32,$B$34,$B$35,$B$36,$B$38,$B$39)*100)</f>
        <v>18.406934538970962</v>
      </c>
      <c r="D35" s="233"/>
      <c r="G35" s="15"/>
    </row>
    <row r="36" spans="1:7">
      <c r="A36" s="171" t="s">
        <v>75</v>
      </c>
      <c r="B36" s="33">
        <f>IF((($B$28-$B$32-$B$39-$B$77-$B$38)*C22/100)&lt;0,0,($B$28-$B$32-$B$39-$B$77-$B$38)*C22/100)</f>
        <v>303.515625</v>
      </c>
      <c r="C36" s="167">
        <f>IF(ISERROR(B36/SUM($B$32,$B$34,$B$35,$B$36,$B$38,$B$39)*100),0,B36/SUM($B$32,$B$34,$B$35,$B$36,$B$38,$B$39)*100)</f>
        <v>2.5769708354559349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9003</v>
      </c>
      <c r="C44" s="34" t="s">
        <v>111</v>
      </c>
      <c r="D44" s="174"/>
    </row>
    <row r="45" spans="1:7">
      <c r="A45" s="171" t="s">
        <v>72</v>
      </c>
      <c r="B45" s="33" t="str">
        <f t="shared" si="0"/>
        <v>-</v>
      </c>
      <c r="C45" s="34" t="s">
        <v>111</v>
      </c>
      <c r="D45" s="174"/>
    </row>
    <row r="46" spans="1:7">
      <c r="A46" s="171" t="s">
        <v>73</v>
      </c>
      <c r="B46" s="33">
        <f t="shared" si="0"/>
        <v>303.515625</v>
      </c>
      <c r="C46" s="34" t="s">
        <v>111</v>
      </c>
      <c r="D46" s="174"/>
    </row>
    <row r="47" spans="1:7">
      <c r="A47" s="171" t="s">
        <v>74</v>
      </c>
      <c r="B47" s="33">
        <f t="shared" si="0"/>
        <v>2167.96875</v>
      </c>
      <c r="C47" s="34" t="s">
        <v>111</v>
      </c>
      <c r="D47" s="174"/>
    </row>
    <row r="48" spans="1:7">
      <c r="A48" s="171" t="s">
        <v>75</v>
      </c>
      <c r="B48" s="33">
        <f t="shared" si="0"/>
        <v>303.515625</v>
      </c>
      <c r="C48" s="33">
        <f>B48*10</f>
        <v>3035.15625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61006.990000000005</v>
      </c>
      <c r="C5" s="17">
        <f>IF(ISERROR('Eigen informatie GS &amp; warmtenet'!B58),0,'Eigen informatie GS &amp; warmtenet'!B58)</f>
        <v>0</v>
      </c>
      <c r="D5" s="30">
        <f>SUM(D6:D12)</f>
        <v>95441.255910000007</v>
      </c>
      <c r="E5" s="17">
        <f>SUM(E6:E12)</f>
        <v>1349.7094230176581</v>
      </c>
      <c r="F5" s="17">
        <f>SUM(F6:F12)</f>
        <v>13406.699121474549</v>
      </c>
      <c r="G5" s="18"/>
      <c r="H5" s="17"/>
      <c r="I5" s="17"/>
      <c r="J5" s="17">
        <f>SUM(J6:J12)</f>
        <v>0</v>
      </c>
      <c r="K5" s="17"/>
      <c r="L5" s="17"/>
      <c r="M5" s="17"/>
      <c r="N5" s="17">
        <f>SUM(N6:N12)</f>
        <v>9393.8188458769182</v>
      </c>
      <c r="O5" s="17">
        <f>B38*B39*B40</f>
        <v>1.5633333333333335</v>
      </c>
      <c r="P5" s="17">
        <f>B46*B47*B48/1000-B46*B47*B48/1000/B49</f>
        <v>114.4</v>
      </c>
      <c r="R5" s="32"/>
    </row>
    <row r="6" spans="1:18">
      <c r="A6" s="32" t="s">
        <v>54</v>
      </c>
      <c r="B6" s="37">
        <f>B26</f>
        <v>9666.0220000000008</v>
      </c>
      <c r="C6" s="33"/>
      <c r="D6" s="37">
        <f>IF(ISERROR(TER_kantoor_gas_kWh/1000),0,TER_kantoor_gas_kWh/1000)*0.902</f>
        <v>10595.638856</v>
      </c>
      <c r="E6" s="33">
        <f>$C$26*'E Balans VL '!I12/100/3.6*1000000</f>
        <v>126.5401347925683</v>
      </c>
      <c r="F6" s="33">
        <f>$C$26*('E Balans VL '!L12+'E Balans VL '!N12)/100/3.6*1000000</f>
        <v>2464.7357250598452</v>
      </c>
      <c r="G6" s="34"/>
      <c r="H6" s="33"/>
      <c r="I6" s="33"/>
      <c r="J6" s="33">
        <f>$C$26*('E Balans VL '!D12+'E Balans VL '!E12)/100/3.6*1000000</f>
        <v>0</v>
      </c>
      <c r="K6" s="33"/>
      <c r="L6" s="33"/>
      <c r="M6" s="33"/>
      <c r="N6" s="33">
        <f>$C$26*'E Balans VL '!Y12/100/3.6*1000000</f>
        <v>9.6985718113457082</v>
      </c>
      <c r="O6" s="33"/>
      <c r="P6" s="33"/>
      <c r="R6" s="32"/>
    </row>
    <row r="7" spans="1:18">
      <c r="A7" s="32" t="s">
        <v>53</v>
      </c>
      <c r="B7" s="37">
        <f t="shared" ref="B7:B12" si="0">B27</f>
        <v>1815.3779999999999</v>
      </c>
      <c r="C7" s="33"/>
      <c r="D7" s="37">
        <f>IF(ISERROR(TER_horeca_gas_kWh/1000),0,TER_horeca_gas_kWh/1000)*0.902</f>
        <v>3200.6766440000001</v>
      </c>
      <c r="E7" s="33">
        <f>$C$27*'E Balans VL '!I9/100/3.6*1000000</f>
        <v>60.077969226059537</v>
      </c>
      <c r="F7" s="33">
        <f>$C$27*('E Balans VL '!L9+'E Balans VL '!N9)/100/3.6*1000000</f>
        <v>780.60558262876987</v>
      </c>
      <c r="G7" s="34"/>
      <c r="H7" s="33"/>
      <c r="I7" s="33"/>
      <c r="J7" s="33">
        <f>$C$27*('E Balans VL '!D9+'E Balans VL '!E9)/100/3.6*1000000</f>
        <v>0</v>
      </c>
      <c r="K7" s="33"/>
      <c r="L7" s="33"/>
      <c r="M7" s="33"/>
      <c r="N7" s="33">
        <f>$C$27*'E Balans VL '!Y9/100/3.6*1000000</f>
        <v>0.43698784678156904</v>
      </c>
      <c r="O7" s="33"/>
      <c r="P7" s="33"/>
      <c r="R7" s="32"/>
    </row>
    <row r="8" spans="1:18">
      <c r="A8" s="6" t="s">
        <v>52</v>
      </c>
      <c r="B8" s="37">
        <f t="shared" si="0"/>
        <v>36253.281000000003</v>
      </c>
      <c r="C8" s="33"/>
      <c r="D8" s="37">
        <f>IF(ISERROR(TER_handel_gas_kWh/1000),0,TER_handel_gas_kWh/1000)*0.902</f>
        <v>70207.612882000001</v>
      </c>
      <c r="E8" s="33">
        <f>$C$28*'E Balans VL '!I13/100/3.6*1000000</f>
        <v>1144.2089417244968</v>
      </c>
      <c r="F8" s="33">
        <f>$C$28*('E Balans VL '!L13+'E Balans VL '!N13)/100/3.6*1000000</f>
        <v>7109.9067847442257</v>
      </c>
      <c r="G8" s="34"/>
      <c r="H8" s="33"/>
      <c r="I8" s="33"/>
      <c r="J8" s="33">
        <f>$C$28*('E Balans VL '!D13+'E Balans VL '!E13)/100/3.6*1000000</f>
        <v>0</v>
      </c>
      <c r="K8" s="33"/>
      <c r="L8" s="33"/>
      <c r="M8" s="33"/>
      <c r="N8" s="33">
        <f>$C$28*'E Balans VL '!Y13/100/3.6*1000000</f>
        <v>43.025606058901609</v>
      </c>
      <c r="O8" s="33"/>
      <c r="P8" s="33"/>
      <c r="R8" s="32"/>
    </row>
    <row r="9" spans="1:18">
      <c r="A9" s="32" t="s">
        <v>51</v>
      </c>
      <c r="B9" s="37">
        <f t="shared" si="0"/>
        <v>884.904</v>
      </c>
      <c r="C9" s="33"/>
      <c r="D9" s="37">
        <f>IF(ISERROR(TER_gezond_gas_kWh/1000),0,TER_gezond_gas_kWh/1000)*0.902</f>
        <v>888.56470999999999</v>
      </c>
      <c r="E9" s="33">
        <f>$C$29*'E Balans VL '!I10/100/3.6*1000000</f>
        <v>0.1132935992921295</v>
      </c>
      <c r="F9" s="33">
        <f>$C$29*('E Balans VL '!L10+'E Balans VL '!N10)/100/3.6*1000000</f>
        <v>184.36259292566788</v>
      </c>
      <c r="G9" s="34"/>
      <c r="H9" s="33"/>
      <c r="I9" s="33"/>
      <c r="J9" s="33">
        <f>$C$29*('E Balans VL '!D10+'E Balans VL '!E10)/100/3.6*1000000</f>
        <v>0</v>
      </c>
      <c r="K9" s="33"/>
      <c r="L9" s="33"/>
      <c r="M9" s="33"/>
      <c r="N9" s="33">
        <f>$C$29*'E Balans VL '!Y10/100/3.6*1000000</f>
        <v>10.393615740617374</v>
      </c>
      <c r="O9" s="33"/>
      <c r="P9" s="33"/>
      <c r="R9" s="32"/>
    </row>
    <row r="10" spans="1:18">
      <c r="A10" s="32" t="s">
        <v>50</v>
      </c>
      <c r="B10" s="37">
        <f t="shared" si="0"/>
        <v>11838.127</v>
      </c>
      <c r="C10" s="33"/>
      <c r="D10" s="37">
        <f>IF(ISERROR(TER_ander_gas_kWh/1000),0,TER_ander_gas_kWh/1000)*0.902</f>
        <v>8252.3510960000003</v>
      </c>
      <c r="E10" s="33">
        <f>$C$30*'E Balans VL '!I14/100/3.6*1000000</f>
        <v>17.80175908790417</v>
      </c>
      <c r="F10" s="33">
        <f>$C$30*('E Balans VL '!L14+'E Balans VL '!N14)/100/3.6*1000000</f>
        <v>2613.476844347068</v>
      </c>
      <c r="G10" s="34"/>
      <c r="H10" s="33"/>
      <c r="I10" s="33"/>
      <c r="J10" s="33">
        <f>$C$30*('E Balans VL '!D14+'E Balans VL '!E14)/100/3.6*1000000</f>
        <v>0</v>
      </c>
      <c r="K10" s="33"/>
      <c r="L10" s="33"/>
      <c r="M10" s="33"/>
      <c r="N10" s="33">
        <f>$C$30*'E Balans VL '!Y14/100/3.6*1000000</f>
        <v>9329.2407519094286</v>
      </c>
      <c r="O10" s="33"/>
      <c r="P10" s="33"/>
      <c r="R10" s="32"/>
    </row>
    <row r="11" spans="1:18">
      <c r="A11" s="32" t="s">
        <v>55</v>
      </c>
      <c r="B11" s="37">
        <f t="shared" si="0"/>
        <v>549.27800000000002</v>
      </c>
      <c r="C11" s="33"/>
      <c r="D11" s="37">
        <f>IF(ISERROR(TER_onderwijs_gas_kWh/1000),0,TER_onderwijs_gas_kWh/1000)*0.902</f>
        <v>2296.4117220000003</v>
      </c>
      <c r="E11" s="33">
        <f>$C$31*'E Balans VL '!I11/100/3.6*1000000</f>
        <v>0.9673245873372931</v>
      </c>
      <c r="F11" s="33">
        <f>$C$31*('E Balans VL '!L11+'E Balans VL '!N11)/100/3.6*1000000</f>
        <v>253.61159176897132</v>
      </c>
      <c r="G11" s="34"/>
      <c r="H11" s="33"/>
      <c r="I11" s="33"/>
      <c r="J11" s="33">
        <f>$C$31*('E Balans VL '!D11+'E Balans VL '!E11)/100/3.6*1000000</f>
        <v>0</v>
      </c>
      <c r="K11" s="33"/>
      <c r="L11" s="33"/>
      <c r="M11" s="33"/>
      <c r="N11" s="33">
        <f>$C$31*'E Balans VL '!Y11/100/3.6*1000000</f>
        <v>1.0233125098439129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62347.990000000005</v>
      </c>
      <c r="C16" s="21">
        <f t="shared" ca="1" si="1"/>
        <v>0</v>
      </c>
      <c r="D16" s="21">
        <f t="shared" ca="1" si="1"/>
        <v>95441.255910000007</v>
      </c>
      <c r="E16" s="21">
        <f t="shared" si="1"/>
        <v>1349.7094230176581</v>
      </c>
      <c r="F16" s="21">
        <f t="shared" ca="1" si="1"/>
        <v>13406.699121474549</v>
      </c>
      <c r="G16" s="21">
        <f t="shared" si="1"/>
        <v>0</v>
      </c>
      <c r="H16" s="21">
        <f t="shared" si="1"/>
        <v>0</v>
      </c>
      <c r="I16" s="21">
        <f t="shared" si="1"/>
        <v>0</v>
      </c>
      <c r="J16" s="21">
        <f t="shared" si="1"/>
        <v>0</v>
      </c>
      <c r="K16" s="21">
        <f t="shared" si="1"/>
        <v>0</v>
      </c>
      <c r="L16" s="21">
        <f t="shared" ca="1" si="1"/>
        <v>0</v>
      </c>
      <c r="M16" s="21">
        <f t="shared" si="1"/>
        <v>0</v>
      </c>
      <c r="N16" s="21">
        <f t="shared" ca="1" si="1"/>
        <v>5562.3902744483466</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0.18742930685931963</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11685.840549771792</v>
      </c>
      <c r="C20" s="23">
        <f t="shared" ref="C20:P20" ca="1" si="2">C16*C18</f>
        <v>0</v>
      </c>
      <c r="D20" s="23">
        <f t="shared" ca="1" si="2"/>
        <v>19279.133693820004</v>
      </c>
      <c r="E20" s="23">
        <f t="shared" si="2"/>
        <v>306.38403902500841</v>
      </c>
      <c r="F20" s="23">
        <f t="shared" ca="1" si="2"/>
        <v>3579.5886654337046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9666.0220000000008</v>
      </c>
      <c r="C26" s="39">
        <f>IF(ISERROR(B26*3.6/1000000/'E Balans VL '!Z12*100),0,B26*3.6/1000000/'E Balans VL '!Z12*100)</f>
        <v>0.20705370048008559</v>
      </c>
      <c r="D26" s="237" t="s">
        <v>660</v>
      </c>
      <c r="F26" s="6"/>
    </row>
    <row r="27" spans="1:18">
      <c r="A27" s="231" t="s">
        <v>53</v>
      </c>
      <c r="B27" s="33">
        <f>IF(ISERROR(TER_horeca_ele_kWh/1000),0,TER_horeca_ele_kWh/1000)</f>
        <v>1815.3779999999999</v>
      </c>
      <c r="C27" s="39">
        <f>IF(ISERROR(B27*3.6/1000000/'E Balans VL '!Z9*100),0,B27*3.6/1000000/'E Balans VL '!Z9*100)</f>
        <v>0.14567777431048115</v>
      </c>
      <c r="D27" s="237" t="s">
        <v>660</v>
      </c>
      <c r="F27" s="6"/>
    </row>
    <row r="28" spans="1:18">
      <c r="A28" s="171" t="s">
        <v>52</v>
      </c>
      <c r="B28" s="33">
        <f>IF(ISERROR(TER_handel_ele_kWh/1000),0,TER_handel_ele_kWh/1000)</f>
        <v>36253.281000000003</v>
      </c>
      <c r="C28" s="39">
        <f>IF(ISERROR(B28*3.6/1000000/'E Balans VL '!Z13*100),0,B28*3.6/1000000/'E Balans VL '!Z13*100)</f>
        <v>1.0692638489742579</v>
      </c>
      <c r="D28" s="237" t="s">
        <v>660</v>
      </c>
      <c r="F28" s="6"/>
    </row>
    <row r="29" spans="1:18">
      <c r="A29" s="231" t="s">
        <v>51</v>
      </c>
      <c r="B29" s="33">
        <f>IF(ISERROR(TER_gezond_ele_kWh/1000),0,TER_gezond_ele_kWh/1000)</f>
        <v>884.904</v>
      </c>
      <c r="C29" s="39">
        <f>IF(ISERROR(B29*3.6/1000000/'E Balans VL '!Z10*100),0,B29*3.6/1000000/'E Balans VL '!Z10*100)</f>
        <v>9.4484022034073592E-2</v>
      </c>
      <c r="D29" s="237" t="s">
        <v>660</v>
      </c>
      <c r="F29" s="6"/>
    </row>
    <row r="30" spans="1:18">
      <c r="A30" s="231" t="s">
        <v>50</v>
      </c>
      <c r="B30" s="33">
        <f>IF(ISERROR(TER_ander_ele_kWh/1000),0,TER_ander_ele_kWh/1000)</f>
        <v>11838.127</v>
      </c>
      <c r="C30" s="39">
        <f>IF(ISERROR(B30*3.6/1000000/'E Balans VL '!Z14*100),0,B30*3.6/1000000/'E Balans VL '!Z14*100)</f>
        <v>0.89418021875962028</v>
      </c>
      <c r="D30" s="237" t="s">
        <v>660</v>
      </c>
      <c r="F30" s="6"/>
    </row>
    <row r="31" spans="1:18">
      <c r="A31" s="231" t="s">
        <v>55</v>
      </c>
      <c r="B31" s="33">
        <f>IF(ISERROR(TER_onderwijs_ele_kWh/1000),0,TER_onderwijs_ele_kWh/1000)</f>
        <v>549.27800000000002</v>
      </c>
      <c r="C31" s="39">
        <f>IF(ISERROR(B31*3.6/1000000/'E Balans VL '!Z11*100),0,B31*3.6/1000000/'E Balans VL '!Z11*100)</f>
        <v>0.11091756451619766</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45260.703000000009</v>
      </c>
      <c r="C5" s="17">
        <f>IF(ISERROR('Eigen informatie GS &amp; warmtenet'!B59),0,'Eigen informatie GS &amp; warmtenet'!B59)</f>
        <v>0</v>
      </c>
      <c r="D5" s="30">
        <f>SUM(D6:D15)</f>
        <v>72940.599820000003</v>
      </c>
      <c r="E5" s="17">
        <f>SUM(E6:E15)</f>
        <v>3579.3576751278997</v>
      </c>
      <c r="F5" s="17">
        <f>SUM(F6:F15)</f>
        <v>15321.158001237369</v>
      </c>
      <c r="G5" s="18"/>
      <c r="H5" s="17"/>
      <c r="I5" s="17"/>
      <c r="J5" s="17">
        <f>SUM(J6:J15)</f>
        <v>298.31429410377876</v>
      </c>
      <c r="K5" s="17"/>
      <c r="L5" s="17"/>
      <c r="M5" s="17"/>
      <c r="N5" s="17">
        <f>SUM(N6:N15)</f>
        <v>12735.056589771086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80.346999999999994</v>
      </c>
      <c r="C7" s="33"/>
      <c r="D7" s="37">
        <f>IF( ISERROR(IND_nonf_gas_kWhh/1000),0,IND_nonf_gas_kWh/1000)*0.902</f>
        <v>0</v>
      </c>
      <c r="E7" s="33">
        <f>C29*'E Balans VL '!I17/100/3.6*1000000</f>
        <v>0.99802998886729621</v>
      </c>
      <c r="F7" s="33">
        <f>C29*'E Balans VL '!L17/100/3.6*1000000+C29*'E Balans VL '!N17/100/3.6*1000000</f>
        <v>21.261073252642181</v>
      </c>
      <c r="G7" s="34"/>
      <c r="H7" s="33"/>
      <c r="I7" s="33"/>
      <c r="J7" s="40">
        <f>C29*'E Balans VL '!D17/100/3.6*1000000+C29*'E Balans VL '!E17/100/3.6*1000000</f>
        <v>40.053308045571271</v>
      </c>
      <c r="K7" s="33"/>
      <c r="L7" s="33"/>
      <c r="M7" s="33"/>
      <c r="N7" s="33">
        <f>C29*'E Balans VL '!Y17/100/3.6*1000000</f>
        <v>0</v>
      </c>
      <c r="O7" s="33"/>
      <c r="P7" s="33"/>
      <c r="R7" s="32"/>
    </row>
    <row r="8" spans="1:18">
      <c r="A8" s="6" t="s">
        <v>36</v>
      </c>
      <c r="B8" s="37">
        <f t="shared" si="0"/>
        <v>4876.723</v>
      </c>
      <c r="C8" s="33"/>
      <c r="D8" s="37">
        <f>IF( ISERROR(IND_metaal_Gas_kWH/1000),0,IND_metaal_Gas_kWH/1000)*0.902</f>
        <v>2805.7106880000001</v>
      </c>
      <c r="E8" s="33">
        <f>C30*'E Balans VL '!I18/100/3.6*1000000</f>
        <v>175.47924662715738</v>
      </c>
      <c r="F8" s="33">
        <f>C30*'E Balans VL '!L18/100/3.6*1000000+C30*'E Balans VL '!N18/100/3.6*1000000</f>
        <v>2129.5068477488303</v>
      </c>
      <c r="G8" s="34"/>
      <c r="H8" s="33"/>
      <c r="I8" s="33"/>
      <c r="J8" s="40">
        <f>C30*'E Balans VL '!D18/100/3.6*1000000+C30*'E Balans VL '!E18/100/3.6*1000000</f>
        <v>0</v>
      </c>
      <c r="K8" s="33"/>
      <c r="L8" s="33"/>
      <c r="M8" s="33"/>
      <c r="N8" s="33">
        <f>C30*'E Balans VL '!Y18/100/3.6*1000000</f>
        <v>244.41804267556245</v>
      </c>
      <c r="O8" s="33"/>
      <c r="P8" s="33"/>
      <c r="R8" s="32"/>
    </row>
    <row r="9" spans="1:18">
      <c r="A9" s="6" t="s">
        <v>33</v>
      </c>
      <c r="B9" s="37">
        <f t="shared" si="0"/>
        <v>12365.397999999999</v>
      </c>
      <c r="C9" s="33"/>
      <c r="D9" s="37">
        <f>IF( ISERROR(IND_andere_gas_kWh/1000),0,IND_andere_gas_kWh/1000)*0.902</f>
        <v>5475.6911220000002</v>
      </c>
      <c r="E9" s="33">
        <f>C31*'E Balans VL '!I19/100/3.6*1000000</f>
        <v>3155.3697946340444</v>
      </c>
      <c r="F9" s="33">
        <f>C31*'E Balans VL '!L19/100/3.6*1000000+C31*'E Balans VL '!N19/100/3.6*1000000</f>
        <v>10645.678258553595</v>
      </c>
      <c r="G9" s="34"/>
      <c r="H9" s="33"/>
      <c r="I9" s="33"/>
      <c r="J9" s="40">
        <f>C31*'E Balans VL '!D19/100/3.6*1000000+C31*'E Balans VL '!E19/100/3.6*1000000</f>
        <v>0</v>
      </c>
      <c r="K9" s="33"/>
      <c r="L9" s="33"/>
      <c r="M9" s="33"/>
      <c r="N9" s="33">
        <f>C31*'E Balans VL '!Y19/100/3.6*1000000</f>
        <v>3867.083425254742</v>
      </c>
      <c r="O9" s="33"/>
      <c r="P9" s="33"/>
      <c r="R9" s="32"/>
    </row>
    <row r="10" spans="1:18">
      <c r="A10" s="6" t="s">
        <v>41</v>
      </c>
      <c r="B10" s="37">
        <f t="shared" si="0"/>
        <v>4468.5410000000002</v>
      </c>
      <c r="C10" s="33"/>
      <c r="D10" s="37">
        <f>IF( ISERROR(IND_voed_gas_kWh/1000),0,IND_voed_gas_kWh/1000)*0.902</f>
        <v>10434.497458</v>
      </c>
      <c r="E10" s="33">
        <f>C32*'E Balans VL '!I20/100/3.6*1000000</f>
        <v>113.59644802961223</v>
      </c>
      <c r="F10" s="33">
        <f>C32*'E Balans VL '!L20/100/3.6*1000000+C32*'E Balans VL '!N20/100/3.6*1000000</f>
        <v>1011.1637497147291</v>
      </c>
      <c r="G10" s="34"/>
      <c r="H10" s="33"/>
      <c r="I10" s="33"/>
      <c r="J10" s="40">
        <f>C32*'E Balans VL '!D20/100/3.6*1000000+C32*'E Balans VL '!E20/100/3.6*1000000</f>
        <v>0</v>
      </c>
      <c r="K10" s="33"/>
      <c r="L10" s="33"/>
      <c r="M10" s="33"/>
      <c r="N10" s="33">
        <f>C32*'E Balans VL '!Y20/100/3.6*1000000</f>
        <v>1675.8239995680774</v>
      </c>
      <c r="O10" s="33"/>
      <c r="P10" s="33"/>
      <c r="R10" s="32"/>
    </row>
    <row r="11" spans="1:18">
      <c r="A11" s="6" t="s">
        <v>40</v>
      </c>
      <c r="B11" s="37">
        <f t="shared" si="0"/>
        <v>16280.424999999999</v>
      </c>
      <c r="C11" s="33"/>
      <c r="D11" s="37">
        <f>IF( ISERROR(IND_textiel_gas_kWh/1000),0,IND_textiel_gas_kWh/1000)*0.902</f>
        <v>44643.137901999995</v>
      </c>
      <c r="E11" s="33">
        <f>C33*'E Balans VL '!I21/100/3.6*1000000</f>
        <v>44.694144803293234</v>
      </c>
      <c r="F11" s="33">
        <f>C33*'E Balans VL '!L21/100/3.6*1000000+C33*'E Balans VL '!N21/100/3.6*1000000</f>
        <v>863.12028422637832</v>
      </c>
      <c r="G11" s="34"/>
      <c r="H11" s="33"/>
      <c r="I11" s="33"/>
      <c r="J11" s="40">
        <f>C33*'E Balans VL '!D21/100/3.6*1000000+C33*'E Balans VL '!E21/100/3.6*1000000</f>
        <v>0</v>
      </c>
      <c r="K11" s="33"/>
      <c r="L11" s="33"/>
      <c r="M11" s="33"/>
      <c r="N11" s="33">
        <f>C33*'E Balans VL '!Y21/100/3.6*1000000</f>
        <v>32.720960122840026</v>
      </c>
      <c r="O11" s="33"/>
      <c r="P11" s="33"/>
      <c r="R11" s="32"/>
    </row>
    <row r="12" spans="1:18">
      <c r="A12" s="6" t="s">
        <v>37</v>
      </c>
      <c r="B12" s="37">
        <f t="shared" si="0"/>
        <v>3367.5839999999998</v>
      </c>
      <c r="C12" s="33"/>
      <c r="D12" s="37">
        <f>IF( ISERROR(IND_min_gas_kWh/1000),0,IND_min_gas_kWh/1000)*0.902</f>
        <v>3767.7243560000006</v>
      </c>
      <c r="E12" s="33">
        <f>C34*'E Balans VL '!I22/100/3.6*1000000</f>
        <v>71.552720086168407</v>
      </c>
      <c r="F12" s="33">
        <f>C34*'E Balans VL '!L22/100/3.6*1000000+C34*'E Balans VL '!N22/100/3.6*1000000</f>
        <v>549.45002848294416</v>
      </c>
      <c r="G12" s="34"/>
      <c r="H12" s="33"/>
      <c r="I12" s="33"/>
      <c r="J12" s="40">
        <f>C34*'E Balans VL '!D22/100/3.6*1000000+C34*'E Balans VL '!E22/100/3.6*1000000</f>
        <v>3.9235496246629169</v>
      </c>
      <c r="K12" s="33"/>
      <c r="L12" s="33"/>
      <c r="M12" s="33"/>
      <c r="N12" s="33">
        <f>C34*'E Balans VL '!Y22/100/3.6*1000000</f>
        <v>0</v>
      </c>
      <c r="O12" s="33"/>
      <c r="P12" s="33"/>
      <c r="R12" s="32"/>
    </row>
    <row r="13" spans="1:18">
      <c r="A13" s="6" t="s">
        <v>39</v>
      </c>
      <c r="B13" s="37">
        <f t="shared" si="0"/>
        <v>3796.1329999999998</v>
      </c>
      <c r="C13" s="33"/>
      <c r="D13" s="37">
        <f>IF( ISERROR(IND_papier_gas_kWh/1000),0,IND_papier_gas_kWh/1000)*0.902</f>
        <v>5679.0271780000003</v>
      </c>
      <c r="E13" s="33">
        <f>C35*'E Balans VL '!I23/100/3.6*1000000</f>
        <v>16.280510074401498</v>
      </c>
      <c r="F13" s="33">
        <f>C35*'E Balans VL '!L23/100/3.6*1000000+C35*'E Balans VL '!N23/100/3.6*1000000</f>
        <v>95.408604736760921</v>
      </c>
      <c r="G13" s="34"/>
      <c r="H13" s="33"/>
      <c r="I13" s="33"/>
      <c r="J13" s="40">
        <f>C35*'E Balans VL '!D23/100/3.6*1000000+C35*'E Balans VL '!E23/100/3.6*1000000</f>
        <v>254.13028341698404</v>
      </c>
      <c r="K13" s="33"/>
      <c r="L13" s="33"/>
      <c r="M13" s="33"/>
      <c r="N13" s="33">
        <f>C35*'E Balans VL '!Y23/100/3.6*1000000</f>
        <v>6909.8648148696348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25.552</v>
      </c>
      <c r="C15" s="33"/>
      <c r="D15" s="37">
        <f>IF( ISERROR(IND_rest_gas_kWh/1000),0,IND_rest_gas_kWh/1000)*0.902</f>
        <v>134.811116</v>
      </c>
      <c r="E15" s="33">
        <f>C37*'E Balans VL '!I15/100/3.6*1000000</f>
        <v>1.3867808843557894</v>
      </c>
      <c r="F15" s="33">
        <f>C37*'E Balans VL '!L15/100/3.6*1000000+C37*'E Balans VL '!N15/100/3.6*1000000</f>
        <v>5.5691545214880271</v>
      </c>
      <c r="G15" s="34"/>
      <c r="H15" s="33"/>
      <c r="I15" s="33"/>
      <c r="J15" s="40">
        <f>C37*'E Balans VL '!D15/100/3.6*1000000+C37*'E Balans VL '!E15/100/3.6*1000000</f>
        <v>0.20715301656053464</v>
      </c>
      <c r="K15" s="33"/>
      <c r="L15" s="33"/>
      <c r="M15" s="33"/>
      <c r="N15" s="33">
        <f>C37*'E Balans VL '!Y15/100/3.6*1000000</f>
        <v>5.1453472802303031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45260.703000000009</v>
      </c>
      <c r="C18" s="21">
        <f>C5+C16</f>
        <v>0</v>
      </c>
      <c r="D18" s="21">
        <f>MAX((D5+D16),0)</f>
        <v>72940.599820000003</v>
      </c>
      <c r="E18" s="21">
        <f>MAX((E5+E16),0)</f>
        <v>3579.3576751278997</v>
      </c>
      <c r="F18" s="21">
        <f>MAX((F5+F16),0)</f>
        <v>15321.158001237369</v>
      </c>
      <c r="G18" s="21"/>
      <c r="H18" s="21"/>
      <c r="I18" s="21"/>
      <c r="J18" s="21">
        <f>MAX((J5+J16),0)</f>
        <v>298.31429410377876</v>
      </c>
      <c r="K18" s="21"/>
      <c r="L18" s="21">
        <f>MAX((L5+L16),0)</f>
        <v>0</v>
      </c>
      <c r="M18" s="21"/>
      <c r="N18" s="21">
        <f>MAX((N5+N16),0)</f>
        <v>12735.056589771086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0.18742930685931963</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8483.1821912555297</v>
      </c>
      <c r="C22" s="23">
        <f ca="1">C18*C20</f>
        <v>0</v>
      </c>
      <c r="D22" s="23">
        <f>D18*D20</f>
        <v>14734.001163640001</v>
      </c>
      <c r="E22" s="23">
        <f>E18*E20</f>
        <v>812.51419225403322</v>
      </c>
      <c r="F22" s="23">
        <f>F18*F20</f>
        <v>4090.7491863303776</v>
      </c>
      <c r="G22" s="23"/>
      <c r="H22" s="23"/>
      <c r="I22" s="23"/>
      <c r="J22" s="23">
        <f>J18*J20</f>
        <v>105.60326011273767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80.346999999999994</v>
      </c>
      <c r="C29" s="39">
        <f>IF(ISERROR(B29*3.6/1000000/'E Balans VL '!Z17*100),0,B29*3.6/1000000/'E Balans VL '!Z17*100)</f>
        <v>8.5795424719546529E-2</v>
      </c>
      <c r="D29" s="237" t="s">
        <v>660</v>
      </c>
    </row>
    <row r="30" spans="1:18">
      <c r="A30" s="171" t="s">
        <v>36</v>
      </c>
      <c r="B30" s="37">
        <f>IF( ISERROR(IND_metaal_ele_kWh/1000),0,IND_metaal_ele_kWh/1000)</f>
        <v>4876.723</v>
      </c>
      <c r="C30" s="39">
        <f>IF(ISERROR(B30*3.6/1000000/'E Balans VL '!Z18*100),0,B30*3.6/1000000/'E Balans VL '!Z18*100)</f>
        <v>1.0332730495144624</v>
      </c>
      <c r="D30" s="237" t="s">
        <v>660</v>
      </c>
    </row>
    <row r="31" spans="1:18">
      <c r="A31" s="6" t="s">
        <v>33</v>
      </c>
      <c r="B31" s="37">
        <f>IF( ISERROR(IND_ander_ele_kWh/1000),0,IND_ander_ele_kWh/1000)</f>
        <v>12365.397999999999</v>
      </c>
      <c r="C31" s="39">
        <f>IF(ISERROR(B31*3.6/1000000/'E Balans VL '!Z19*100),0,B31*3.6/1000000/'E Balans VL '!Z19*100)</f>
        <v>0.52048767949813379</v>
      </c>
      <c r="D31" s="237" t="s">
        <v>660</v>
      </c>
    </row>
    <row r="32" spans="1:18">
      <c r="A32" s="171" t="s">
        <v>41</v>
      </c>
      <c r="B32" s="37">
        <f>IF( ISERROR(IND_voed_ele_kWh/1000),0,IND_voed_ele_kWh/1000)</f>
        <v>4468.5410000000002</v>
      </c>
      <c r="C32" s="39">
        <f>IF(ISERROR(B32*3.6/1000000/'E Balans VL '!Z20*100),0,B32*3.6/1000000/'E Balans VL '!Z20*100)</f>
        <v>0.74652033211419955</v>
      </c>
      <c r="D32" s="237" t="s">
        <v>660</v>
      </c>
    </row>
    <row r="33" spans="1:5">
      <c r="A33" s="171" t="s">
        <v>40</v>
      </c>
      <c r="B33" s="37">
        <f>IF( ISERROR(IND_textiel_ele_kWh/1000),0,IND_textiel_ele_kWh/1000)</f>
        <v>16280.424999999999</v>
      </c>
      <c r="C33" s="39">
        <f>IF(ISERROR(B33*3.6/1000000/'E Balans VL '!Z21*100),0,B33*3.6/1000000/'E Balans VL '!Z21*100)</f>
        <v>0.9504999309466966</v>
      </c>
      <c r="D33" s="237" t="s">
        <v>660</v>
      </c>
    </row>
    <row r="34" spans="1:5">
      <c r="A34" s="171" t="s">
        <v>37</v>
      </c>
      <c r="B34" s="37">
        <f>IF( ISERROR(IND_min_ele_kWh/1000),0,IND_min_ele_kWh/1000)</f>
        <v>3367.5839999999998</v>
      </c>
      <c r="C34" s="39">
        <f>IF(ISERROR(B34*3.6/1000000/'E Balans VL '!Z22*100),0,B34*3.6/1000000/'E Balans VL '!Z22*100)</f>
        <v>0.42685943332687326</v>
      </c>
      <c r="D34" s="237" t="s">
        <v>660</v>
      </c>
    </row>
    <row r="35" spans="1:5">
      <c r="A35" s="171" t="s">
        <v>39</v>
      </c>
      <c r="B35" s="37">
        <f>IF( ISERROR(IND_papier_ele_kWh/1000),0,IND_papier_ele_kWh/1000)</f>
        <v>3796.1329999999998</v>
      </c>
      <c r="C35" s="39">
        <f>IF(ISERROR(B35*3.6/1000000/'E Balans VL '!Z22*100),0,B35*3.6/1000000/'E Balans VL '!Z22*100)</f>
        <v>0.48118033023480422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25.552</v>
      </c>
      <c r="C37" s="39">
        <f>IF(ISERROR(B37*3.6/1000000/'E Balans VL '!Z15*100),0,B37*3.6/1000000/'E Balans VL '!Z15*100)</f>
        <v>2.0629119018788768E-4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2128.4340000000002</v>
      </c>
      <c r="C5" s="17">
        <f>'Eigen informatie GS &amp; warmtenet'!B60</f>
        <v>0</v>
      </c>
      <c r="D5" s="30">
        <f>IF(ISERROR(SUM(LB_lb_gas_kWh,LB_rest_gas_kWh,onbekend_gas_kWh)/1000),0,SUM(LB_lb_gas_kWh,LB_rest_gas_kWh,onbekend_gas_kWh)/1000)*0.902</f>
        <v>37118.395027999999</v>
      </c>
      <c r="E5" s="17">
        <f>B17*'E Balans VL '!I25/3.6*1000000/100</f>
        <v>54.884140618271744</v>
      </c>
      <c r="F5" s="17">
        <f>B17*('E Balans VL '!L25/3.6*1000000+'E Balans VL '!N25/3.6*1000000)/100</f>
        <v>7779.8316105650147</v>
      </c>
      <c r="G5" s="18"/>
      <c r="H5" s="17"/>
      <c r="I5" s="17"/>
      <c r="J5" s="17">
        <f>('E Balans VL '!D25+'E Balans VL '!E25)/3.6*1000000*landbouw!B17/100</f>
        <v>306.41619802833719</v>
      </c>
      <c r="K5" s="17"/>
      <c r="L5" s="17">
        <f>L6*(-1)</f>
        <v>0</v>
      </c>
      <c r="M5" s="17"/>
      <c r="N5" s="17">
        <f>N6*(-1)</f>
        <v>6904.2857142857147</v>
      </c>
      <c r="O5" s="17"/>
      <c r="P5" s="17"/>
      <c r="R5" s="32"/>
    </row>
    <row r="6" spans="1:18">
      <c r="A6" s="16" t="s">
        <v>491</v>
      </c>
      <c r="B6" s="17" t="s">
        <v>211</v>
      </c>
      <c r="C6" s="17">
        <f>'lokale energieproductie'!O91+'lokale energieproductie'!O60</f>
        <v>29976.428571428572</v>
      </c>
      <c r="D6" s="310">
        <f>('lokale energieproductie'!P60+'lokale energieproductie'!P91)*(-1)</f>
        <v>-53048.571428571435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2128.4340000000002</v>
      </c>
      <c r="C8" s="21">
        <f>C5+C6</f>
        <v>29976.428571428572</v>
      </c>
      <c r="D8" s="21">
        <f>MAX((D5+D6),0)</f>
        <v>0</v>
      </c>
      <c r="E8" s="21">
        <f>MAX((E5+E6),0)</f>
        <v>54.884140618271744</v>
      </c>
      <c r="F8" s="21">
        <f>MAX((F5+F6),0)</f>
        <v>7779.8316105650147</v>
      </c>
      <c r="G8" s="21"/>
      <c r="H8" s="21"/>
      <c r="I8" s="21"/>
      <c r="J8" s="21">
        <f>MAX((J5+J6),0)</f>
        <v>306.41619802833719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0.18742930685931963</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398.93090931580917</v>
      </c>
      <c r="C12" s="23">
        <f ca="1">C8*C10</f>
        <v>6303.4184873949598</v>
      </c>
      <c r="D12" s="23">
        <f>D8*D10</f>
        <v>0</v>
      </c>
      <c r="E12" s="23">
        <f>E8*E10</f>
        <v>12.458699920347685</v>
      </c>
      <c r="F12" s="23">
        <f>F8*F10</f>
        <v>2077.2150400208589</v>
      </c>
      <c r="G12" s="23"/>
      <c r="H12" s="23"/>
      <c r="I12" s="23"/>
      <c r="J12" s="23">
        <f>J8*J10</f>
        <v>108.47133410203136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0.30012329243068869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189.23153184377495</v>
      </c>
      <c r="C26" s="247">
        <f>B26*'GWP N2O_CH4'!B5</f>
        <v>3973.862168719274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69.410766574107356</v>
      </c>
      <c r="C27" s="247">
        <f>B27*'GWP N2O_CH4'!B5</f>
        <v>1457.6260980562545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2.7256770172539593</v>
      </c>
      <c r="C28" s="247">
        <f>B28*'GWP N2O_CH4'!B4</f>
        <v>844.95987534872734</v>
      </c>
      <c r="D28" s="50"/>
    </row>
    <row r="29" spans="1:4">
      <c r="A29" s="41" t="s">
        <v>277</v>
      </c>
      <c r="B29" s="247">
        <f>B34*'ha_N2O bodem landbouw'!B4</f>
        <v>7.5955487670804764</v>
      </c>
      <c r="C29" s="247">
        <f>B29*'GWP N2O_CH4'!B4</f>
        <v>2354.6201177949479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1.7094112267198782E-3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1.4918350451093818E-4</v>
      </c>
      <c r="C5" s="463" t="s">
        <v>211</v>
      </c>
      <c r="D5" s="448">
        <f>SUM(D6:D11)</f>
        <v>3.5147693914324471E-4</v>
      </c>
      <c r="E5" s="448">
        <f>SUM(E6:E11)</f>
        <v>1.4775535816430366E-3</v>
      </c>
      <c r="F5" s="461" t="s">
        <v>211</v>
      </c>
      <c r="G5" s="448">
        <f>SUM(G6:G11)</f>
        <v>0.61224942316821307</v>
      </c>
      <c r="H5" s="448">
        <f>SUM(H6:H11)</f>
        <v>9.5818533074521789E-2</v>
      </c>
      <c r="I5" s="463" t="s">
        <v>211</v>
      </c>
      <c r="J5" s="463" t="s">
        <v>211</v>
      </c>
      <c r="K5" s="463" t="s">
        <v>211</v>
      </c>
      <c r="L5" s="463" t="s">
        <v>211</v>
      </c>
      <c r="M5" s="448">
        <f>SUM(M6:M11)</f>
        <v>2.215901728558712E-2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5.3659108388768727E-5</v>
      </c>
      <c r="C6" s="449"/>
      <c r="D6" s="962">
        <f>vkm_2011_GW_PW*SUMIFS(TableVerdeelsleutelVkm[CNG],TableVerdeelsleutelVkm[Voertuigtype],"Lichte voertuigen")*SUMIFS(TableECFTransport[EnergieConsumptieFactor (PJ per km)],TableECFTransport[Index],CONCATENATE($A6,"_CNG_CNG"))</f>
        <v>1.0662158829010472E-4</v>
      </c>
      <c r="E6" s="962">
        <f>vkm_2011_GW_PW*SUMIFS(TableVerdeelsleutelVkm[LPG],TableVerdeelsleutelVkm[Voertuigtype],"Lichte voertuigen")*SUMIFS(TableECFTransport[EnergieConsumptieFactor (PJ per km)],TableECFTransport[Index],CONCATENATE($A6,"_LPG_LPG"))</f>
        <v>4.1959417089574918E-4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9.9765096723485491E-2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2.8865671589700902E-2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4.008253520027036E-3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7.8456931224885215E-2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2.5344939956380393E-5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2.4720578578234656E-3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3.2092851223959419E-5</v>
      </c>
      <c r="C8" s="449"/>
      <c r="D8" s="451">
        <f>vkm_2011_NGW_PW*SUMIFS(TableVerdeelsleutelVkm[CNG],TableVerdeelsleutelVkm[Voertuigtype],"Lichte voertuigen")*SUMIFS(TableECFTransport[EnergieConsumptieFactor (PJ per km)],TableECFTransport[Index],CONCATENATE($A8,"_CNG_CNG"))</f>
        <v>1.1291173856502051E-4</v>
      </c>
      <c r="E8" s="451">
        <f>vkm_2011_NGW_PW*SUMIFS(TableVerdeelsleutelVkm[LPG],TableVerdeelsleutelVkm[Voertuigtype],"Lichte voertuigen")*SUMIFS(TableECFTransport[EnergieConsumptieFactor (PJ per km)],TableECFTransport[Index],CONCATENATE($A8,"_LPG_LPG"))</f>
        <v>4.1094355387637053E-4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9.1241021004437636E-2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2.9640984777289419E-2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3.7630096706113636E-3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3.5072394742111067E-2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1.0714913976244898E-5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1.105059050030397E-3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6.3431544898210045E-5</v>
      </c>
      <c r="C10" s="449"/>
      <c r="D10" s="451">
        <f>vkm_2011_SW_PW*SUMIFS(TableVerdeelsleutelVkm[CNG],TableVerdeelsleutelVkm[Voertuigtype],"Lichte voertuigen")*SUMIFS(TableECFTransport[EnergieConsumptieFactor (PJ per km)],TableECFTransport[Index],CONCATENATE($A10,"_CNG_CNG"))</f>
        <v>1.3194361228811946E-4</v>
      </c>
      <c r="E10" s="451">
        <f>vkm_2011_SW_PW*SUMIFS(TableVerdeelsleutelVkm[LPG],TableVerdeelsleutelVkm[Voertuigtype],"Lichte voertuigen")*SUMIFS(TableECFTransport[EnergieConsumptieFactor (PJ per km)],TableECFTransport[Index],CONCATENATE($A10,"_LPG_LPG"))</f>
        <v>6.4701585687091691E-4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0.13780694872088239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3.7216679269039717E-2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5.4569991368715988E-3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0.16990703075241129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5.913758455913081E-5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5.3536380502232578E-3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41.439862364149498</v>
      </c>
      <c r="C14" s="21"/>
      <c r="D14" s="21">
        <f t="shared" ref="D14:M14" si="0">((D5)*10^9/3600)+D12</f>
        <v>97.632483095345748</v>
      </c>
      <c r="E14" s="21">
        <f t="shared" si="0"/>
        <v>410.43155045639907</v>
      </c>
      <c r="F14" s="21"/>
      <c r="G14" s="21">
        <f t="shared" si="0"/>
        <v>170069.28421339253</v>
      </c>
      <c r="H14" s="21">
        <f t="shared" si="0"/>
        <v>26616.259187367166</v>
      </c>
      <c r="I14" s="21"/>
      <c r="J14" s="21"/>
      <c r="K14" s="21"/>
      <c r="L14" s="21"/>
      <c r="M14" s="21">
        <f t="shared" si="0"/>
        <v>6155.2825793297561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0.18742930685931963</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7.7670446792581469</v>
      </c>
      <c r="C18" s="23"/>
      <c r="D18" s="23">
        <f t="shared" ref="D18:M18" si="1">D14*D16</f>
        <v>19.721761585259841</v>
      </c>
      <c r="E18" s="23">
        <f t="shared" si="1"/>
        <v>93.167961953602585</v>
      </c>
      <c r="F18" s="23"/>
      <c r="G18" s="23">
        <f t="shared" si="1"/>
        <v>45408.498884975808</v>
      </c>
      <c r="H18" s="23">
        <f t="shared" si="1"/>
        <v>6627.4485376544244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5.1477304433906745E-3</v>
      </c>
      <c r="H50" s="321">
        <f t="shared" si="2"/>
        <v>0</v>
      </c>
      <c r="I50" s="321">
        <f t="shared" si="2"/>
        <v>0</v>
      </c>
      <c r="J50" s="321">
        <f t="shared" si="2"/>
        <v>0</v>
      </c>
      <c r="K50" s="321">
        <f t="shared" si="2"/>
        <v>0</v>
      </c>
      <c r="L50" s="321">
        <f t="shared" si="2"/>
        <v>0</v>
      </c>
      <c r="M50" s="321">
        <f t="shared" si="2"/>
        <v>1.5967108194363624E-4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5.1477304433906745E-3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1.5967108194363624E-4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1429.9251231640765</v>
      </c>
      <c r="H54" s="21">
        <f t="shared" si="3"/>
        <v>0</v>
      </c>
      <c r="I54" s="21">
        <f t="shared" si="3"/>
        <v>0</v>
      </c>
      <c r="J54" s="21">
        <f t="shared" si="3"/>
        <v>0</v>
      </c>
      <c r="K54" s="21">
        <f t="shared" si="3"/>
        <v>0</v>
      </c>
      <c r="L54" s="21">
        <f t="shared" si="3"/>
        <v>0</v>
      </c>
      <c r="M54" s="21">
        <f t="shared" si="3"/>
        <v>44.353078317676733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0.18742930685931963</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381.79000788480846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3527.4803501596771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17730.510581473383</v>
      </c>
      <c r="C6" s="1203"/>
      <c r="D6" s="1188"/>
      <c r="E6" s="1188"/>
      <c r="F6" s="1206"/>
      <c r="G6" s="1209"/>
      <c r="H6" s="1200"/>
      <c r="I6" s="1188"/>
      <c r="J6" s="1188"/>
      <c r="K6" s="1188"/>
      <c r="L6" s="1192"/>
      <c r="M6" s="575"/>
      <c r="N6" s="1166"/>
      <c r="O6" s="1167"/>
      <c r="Q6" s="573"/>
      <c r="R6" s="1154"/>
      <c r="S6" s="1154"/>
    </row>
    <row r="7" spans="1:19" s="563" customFormat="1">
      <c r="A7" s="576" t="s">
        <v>252</v>
      </c>
      <c r="B7" s="577">
        <f>N57</f>
        <v>20983.5</v>
      </c>
      <c r="C7" s="578">
        <f>B100</f>
        <v>21843.529411764706</v>
      </c>
      <c r="D7" s="579"/>
      <c r="E7" s="579">
        <f>E100</f>
        <v>0</v>
      </c>
      <c r="F7" s="580"/>
      <c r="G7" s="581"/>
      <c r="H7" s="579">
        <f>I100</f>
        <v>0</v>
      </c>
      <c r="I7" s="579">
        <f>G100+F100</f>
        <v>0</v>
      </c>
      <c r="J7" s="579">
        <f>H100+D100+C100</f>
        <v>2842.9411764705883</v>
      </c>
      <c r="K7" s="579"/>
      <c r="L7" s="582"/>
      <c r="M7" s="583">
        <f>C7*$C$11+D7*$D$11+E7*$E$11+F7*$F$11+G7*$G$11+H7*$H$11+I7*$I$11+J7*$J$11</f>
        <v>4412.3929411764711</v>
      </c>
      <c r="N7" s="1166"/>
      <c r="O7" s="1167"/>
      <c r="Q7" s="573"/>
      <c r="R7" s="1154"/>
      <c r="S7" s="115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43582.49093163306</v>
      </c>
      <c r="C9" s="594">
        <f t="shared" ref="C9:L9" si="0">SUM(C7:C8)</f>
        <v>21843.529411764706</v>
      </c>
      <c r="D9" s="594">
        <f t="shared" si="0"/>
        <v>0</v>
      </c>
      <c r="E9" s="594">
        <f t="shared" si="0"/>
        <v>0</v>
      </c>
      <c r="F9" s="594">
        <f t="shared" si="0"/>
        <v>0</v>
      </c>
      <c r="G9" s="594">
        <f t="shared" si="0"/>
        <v>0</v>
      </c>
      <c r="H9" s="594">
        <f t="shared" si="0"/>
        <v>0</v>
      </c>
      <c r="I9" s="594">
        <f t="shared" si="0"/>
        <v>0</v>
      </c>
      <c r="J9" s="594">
        <f t="shared" si="0"/>
        <v>6674.3697478991598</v>
      </c>
      <c r="K9" s="594">
        <f t="shared" si="0"/>
        <v>0</v>
      </c>
      <c r="L9" s="594">
        <f t="shared" si="0"/>
        <v>0</v>
      </c>
      <c r="M9" s="595">
        <f>SUM(M4:M8)</f>
        <v>4412.3929411764711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29976.428571428572</v>
      </c>
      <c r="C16" s="610">
        <f>B101</f>
        <v>31205.042016806728</v>
      </c>
      <c r="D16" s="611"/>
      <c r="E16" s="611">
        <f>E101</f>
        <v>0</v>
      </c>
      <c r="F16" s="612"/>
      <c r="G16" s="613"/>
      <c r="H16" s="610">
        <f>I101</f>
        <v>0</v>
      </c>
      <c r="I16" s="611">
        <f>G101+F101</f>
        <v>0</v>
      </c>
      <c r="J16" s="611">
        <f>H101+D101+C101</f>
        <v>4061.3445378151264</v>
      </c>
      <c r="K16" s="611"/>
      <c r="L16" s="614"/>
      <c r="M16" s="615">
        <f>C16*$C$21+E16*$E$21+H16*$H$21+I16*$I$21+J16*$J$21+D16*$D$21+F16*$F$21+G16*$G$21+K16*$K$21+L16*$L$21</f>
        <v>6303.4184873949598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29976.428571428572</v>
      </c>
      <c r="C19" s="593">
        <f>SUM(C16:C18)</f>
        <v>31205.042016806728</v>
      </c>
      <c r="D19" s="593">
        <f t="shared" ref="D19:M19" si="1">SUM(D16:D18)</f>
        <v>0</v>
      </c>
      <c r="E19" s="593">
        <f t="shared" si="1"/>
        <v>0</v>
      </c>
      <c r="F19" s="593">
        <f t="shared" si="1"/>
        <v>0</v>
      </c>
      <c r="G19" s="593">
        <f t="shared" si="1"/>
        <v>0</v>
      </c>
      <c r="H19" s="593">
        <f t="shared" si="1"/>
        <v>0</v>
      </c>
      <c r="I19" s="593">
        <f t="shared" si="1"/>
        <v>0</v>
      </c>
      <c r="J19" s="593">
        <f t="shared" si="1"/>
        <v>4061.3445378151264</v>
      </c>
      <c r="K19" s="593">
        <f t="shared" si="1"/>
        <v>0</v>
      </c>
      <c r="L19" s="593">
        <f t="shared" si="1"/>
        <v>0</v>
      </c>
      <c r="M19" s="620">
        <f t="shared" si="1"/>
        <v>6303.4184873949598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34013</v>
      </c>
      <c r="C27" s="851">
        <v>8531</v>
      </c>
      <c r="D27" s="672" t="s">
        <v>818</v>
      </c>
      <c r="E27" s="671" t="s">
        <v>819</v>
      </c>
      <c r="F27" s="671" t="s">
        <v>820</v>
      </c>
      <c r="G27" s="671" t="s">
        <v>821</v>
      </c>
      <c r="H27" s="671" t="s">
        <v>822</v>
      </c>
      <c r="I27" s="671" t="s">
        <v>819</v>
      </c>
      <c r="J27" s="850">
        <v>39652</v>
      </c>
      <c r="K27" s="850">
        <v>39652</v>
      </c>
      <c r="L27" s="671" t="s">
        <v>823</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34013</v>
      </c>
      <c r="C28" s="851">
        <v>8531</v>
      </c>
      <c r="D28" s="672" t="s">
        <v>824</v>
      </c>
      <c r="E28" s="671" t="s">
        <v>825</v>
      </c>
      <c r="F28" s="671" t="s">
        <v>826</v>
      </c>
      <c r="G28" s="671" t="s">
        <v>821</v>
      </c>
      <c r="H28" s="671" t="s">
        <v>822</v>
      </c>
      <c r="I28" s="671" t="s">
        <v>827</v>
      </c>
      <c r="J28" s="850">
        <v>40345</v>
      </c>
      <c r="K28" s="850">
        <v>40345</v>
      </c>
      <c r="L28" s="671" t="s">
        <v>823</v>
      </c>
      <c r="M28" s="671">
        <v>2056</v>
      </c>
      <c r="N28" s="671">
        <v>9252</v>
      </c>
      <c r="O28" s="671">
        <v>13217.142857142857</v>
      </c>
      <c r="P28" s="671">
        <v>26434.285714285717</v>
      </c>
      <c r="Q28" s="671">
        <v>0</v>
      </c>
      <c r="R28" s="671">
        <v>0</v>
      </c>
      <c r="S28" s="671">
        <v>0</v>
      </c>
      <c r="T28" s="671">
        <v>0</v>
      </c>
      <c r="U28" s="671">
        <v>0</v>
      </c>
      <c r="V28" s="671">
        <v>0</v>
      </c>
      <c r="W28" s="671">
        <v>0</v>
      </c>
      <c r="X28" s="671">
        <v>10</v>
      </c>
      <c r="Y28" s="671" t="s">
        <v>112</v>
      </c>
      <c r="Z28" s="673" t="s">
        <v>112</v>
      </c>
    </row>
    <row r="29" spans="1:26" s="625" customFormat="1" ht="25.5">
      <c r="A29" s="624"/>
      <c r="B29" s="851">
        <v>34013</v>
      </c>
      <c r="C29" s="851">
        <v>8530</v>
      </c>
      <c r="D29" s="672" t="s">
        <v>828</v>
      </c>
      <c r="E29" s="671" t="s">
        <v>829</v>
      </c>
      <c r="F29" s="671" t="s">
        <v>830</v>
      </c>
      <c r="G29" s="671" t="s">
        <v>821</v>
      </c>
      <c r="H29" s="671" t="s">
        <v>822</v>
      </c>
      <c r="I29" s="671" t="s">
        <v>831</v>
      </c>
      <c r="J29" s="850">
        <v>39436</v>
      </c>
      <c r="K29" s="850">
        <v>40974</v>
      </c>
      <c r="L29" s="671" t="s">
        <v>823</v>
      </c>
      <c r="M29" s="671">
        <v>537</v>
      </c>
      <c r="N29" s="671">
        <v>2416.5</v>
      </c>
      <c r="O29" s="671">
        <v>3452.1428571428573</v>
      </c>
      <c r="P29" s="671">
        <v>0</v>
      </c>
      <c r="Q29" s="671">
        <v>6904.2857142857147</v>
      </c>
      <c r="R29" s="671">
        <v>0</v>
      </c>
      <c r="S29" s="671">
        <v>0</v>
      </c>
      <c r="T29" s="671">
        <v>0</v>
      </c>
      <c r="U29" s="671">
        <v>0</v>
      </c>
      <c r="V29" s="671">
        <v>0</v>
      </c>
      <c r="W29" s="671">
        <v>0</v>
      </c>
      <c r="X29" s="671">
        <v>10</v>
      </c>
      <c r="Y29" s="671" t="s">
        <v>112</v>
      </c>
      <c r="Z29" s="673" t="s">
        <v>112</v>
      </c>
    </row>
    <row r="30" spans="1:26" s="625" customFormat="1" ht="25.5">
      <c r="A30" s="624"/>
      <c r="B30" s="851">
        <v>34013</v>
      </c>
      <c r="C30" s="851">
        <v>8530</v>
      </c>
      <c r="D30" s="672" t="s">
        <v>832</v>
      </c>
      <c r="E30" s="671" t="s">
        <v>833</v>
      </c>
      <c r="F30" s="671" t="s">
        <v>834</v>
      </c>
      <c r="G30" s="671" t="s">
        <v>821</v>
      </c>
      <c r="H30" s="671" t="s">
        <v>822</v>
      </c>
      <c r="I30" s="671" t="s">
        <v>835</v>
      </c>
      <c r="J30" s="850">
        <v>41253</v>
      </c>
      <c r="K30" s="850">
        <v>41037</v>
      </c>
      <c r="L30" s="671" t="s">
        <v>823</v>
      </c>
      <c r="M30" s="671">
        <v>70</v>
      </c>
      <c r="N30" s="671">
        <v>315.00000000000006</v>
      </c>
      <c r="O30" s="671">
        <v>450.00000000000011</v>
      </c>
      <c r="P30" s="671">
        <v>900.00000000000023</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4663</v>
      </c>
      <c r="N57" s="629">
        <f>SUM(N27:N56)</f>
        <v>20983.5</v>
      </c>
      <c r="O57" s="629">
        <f t="shared" ref="O57:W57" si="2">SUM(O27:O56)</f>
        <v>29976.428571428572</v>
      </c>
      <c r="P57" s="629">
        <f t="shared" si="2"/>
        <v>53048.571428571435</v>
      </c>
      <c r="Q57" s="629">
        <f t="shared" si="2"/>
        <v>6904.2857142857147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4663</v>
      </c>
      <c r="N60" s="634">
        <f t="shared" ref="N60:W60" si="4">SUMIF($Z$27:$Z$56,"landbouw",N27:N56)</f>
        <v>20983.5</v>
      </c>
      <c r="O60" s="634">
        <f t="shared" si="4"/>
        <v>29976.428571428572</v>
      </c>
      <c r="P60" s="634">
        <f t="shared" si="4"/>
        <v>53048.571428571435</v>
      </c>
      <c r="Q60" s="634">
        <f t="shared" si="4"/>
        <v>6904.2857142857147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34013</v>
      </c>
      <c r="C63" s="851">
        <v>8530</v>
      </c>
      <c r="D63" s="674" t="s">
        <v>836</v>
      </c>
      <c r="E63" s="674" t="s">
        <v>837</v>
      </c>
      <c r="F63" s="674" t="s">
        <v>838</v>
      </c>
      <c r="G63" s="674" t="s">
        <v>839</v>
      </c>
      <c r="H63" s="674" t="s">
        <v>840</v>
      </c>
      <c r="I63" s="674" t="s">
        <v>841</v>
      </c>
      <c r="J63" s="850">
        <v>39156</v>
      </c>
      <c r="K63" s="850">
        <v>39173</v>
      </c>
      <c r="L63" s="674" t="s">
        <v>823</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21843.529411764706</v>
      </c>
      <c r="C100" s="663">
        <f t="shared" si="9"/>
        <v>2842.9411764705883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31205.042016806728</v>
      </c>
      <c r="C101" s="666">
        <f t="shared" ref="C101:H101" si="10">$B$97*Q57</f>
        <v>4061.3445378151264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64584.885000000002</v>
      </c>
      <c r="D10" s="718">
        <f ca="1">tertiair!C16</f>
        <v>0</v>
      </c>
      <c r="E10" s="718">
        <f ca="1">tertiair!D16</f>
        <v>95441.255910000007</v>
      </c>
      <c r="F10" s="718">
        <f>tertiair!E16</f>
        <v>1349.7094230176581</v>
      </c>
      <c r="G10" s="718">
        <f ca="1">tertiair!F16</f>
        <v>13406.699121474549</v>
      </c>
      <c r="H10" s="718">
        <f>tertiair!G16</f>
        <v>0</v>
      </c>
      <c r="I10" s="718">
        <f>tertiair!H16</f>
        <v>0</v>
      </c>
      <c r="J10" s="718">
        <f>tertiair!I16</f>
        <v>0</v>
      </c>
      <c r="K10" s="718">
        <f>tertiair!J16</f>
        <v>0</v>
      </c>
      <c r="L10" s="718">
        <f>tertiair!K16</f>
        <v>0</v>
      </c>
      <c r="M10" s="718">
        <f ca="1">tertiair!L16</f>
        <v>0</v>
      </c>
      <c r="N10" s="718">
        <f>tertiair!M16</f>
        <v>0</v>
      </c>
      <c r="O10" s="718">
        <f ca="1">tertiair!N16</f>
        <v>5562.3902744483466</v>
      </c>
      <c r="P10" s="718">
        <f>tertiair!O16</f>
        <v>1.5633333333333335</v>
      </c>
      <c r="Q10" s="719">
        <f>tertiair!P16</f>
        <v>114.4</v>
      </c>
      <c r="R10" s="721">
        <f ca="1">SUM(C10:Q10)</f>
        <v>180460.90306227389</v>
      </c>
      <c r="S10" s="67"/>
    </row>
    <row r="11" spans="1:19" s="474" customFormat="1">
      <c r="A11" s="870" t="s">
        <v>225</v>
      </c>
      <c r="B11" s="875"/>
      <c r="C11" s="718">
        <f>huishoudens!B8</f>
        <v>43457.573288933723</v>
      </c>
      <c r="D11" s="718">
        <f>huishoudens!C8</f>
        <v>0</v>
      </c>
      <c r="E11" s="718">
        <f>huishoudens!D8</f>
        <v>111062.45511530116</v>
      </c>
      <c r="F11" s="718">
        <f>huishoudens!E8</f>
        <v>6864.8823494253147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19496.718682442737</v>
      </c>
      <c r="P11" s="718">
        <f>huishoudens!O8</f>
        <v>469</v>
      </c>
      <c r="Q11" s="719">
        <f>huishoudens!P8</f>
        <v>705.4666666666667</v>
      </c>
      <c r="R11" s="721">
        <f>SUM(C11:Q11)</f>
        <v>182056.0961027696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45260.703000000009</v>
      </c>
      <c r="D13" s="718">
        <f>industrie!C18</f>
        <v>0</v>
      </c>
      <c r="E13" s="718">
        <f>industrie!D18</f>
        <v>72940.599820000003</v>
      </c>
      <c r="F13" s="718">
        <f>industrie!E18</f>
        <v>3579.3576751278997</v>
      </c>
      <c r="G13" s="718">
        <f>industrie!F18</f>
        <v>15321.158001237369</v>
      </c>
      <c r="H13" s="718">
        <f>industrie!G18</f>
        <v>0</v>
      </c>
      <c r="I13" s="718">
        <f>industrie!H18</f>
        <v>0</v>
      </c>
      <c r="J13" s="718">
        <f>industrie!I18</f>
        <v>0</v>
      </c>
      <c r="K13" s="718">
        <f>industrie!J18</f>
        <v>298.31429410377876</v>
      </c>
      <c r="L13" s="718">
        <f>industrie!K18</f>
        <v>0</v>
      </c>
      <c r="M13" s="718">
        <f>industrie!L18</f>
        <v>0</v>
      </c>
      <c r="N13" s="718">
        <f>industrie!M18</f>
        <v>0</v>
      </c>
      <c r="O13" s="718">
        <f>industrie!N18</f>
        <v>12735.056589771086</v>
      </c>
      <c r="P13" s="718">
        <f>industrie!O18</f>
        <v>0</v>
      </c>
      <c r="Q13" s="719">
        <f>industrie!P18</f>
        <v>0</v>
      </c>
      <c r="R13" s="721">
        <f>SUM(C13:Q13)</f>
        <v>150135.18938024013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153303.16128893374</v>
      </c>
      <c r="D15" s="723">
        <f t="shared" ref="D15:Q15" ca="1" si="0">SUM(D9:D14)</f>
        <v>0</v>
      </c>
      <c r="E15" s="723">
        <f t="shared" ca="1" si="0"/>
        <v>279444.31084530114</v>
      </c>
      <c r="F15" s="723">
        <f t="shared" si="0"/>
        <v>11793.949447570873</v>
      </c>
      <c r="G15" s="723">
        <f t="shared" ca="1" si="0"/>
        <v>28727.857122711917</v>
      </c>
      <c r="H15" s="723">
        <f t="shared" si="0"/>
        <v>0</v>
      </c>
      <c r="I15" s="723">
        <f t="shared" si="0"/>
        <v>0</v>
      </c>
      <c r="J15" s="723">
        <f t="shared" si="0"/>
        <v>0</v>
      </c>
      <c r="K15" s="723">
        <f t="shared" si="0"/>
        <v>298.31429410377876</v>
      </c>
      <c r="L15" s="723">
        <f t="shared" si="0"/>
        <v>0</v>
      </c>
      <c r="M15" s="723">
        <f t="shared" ca="1" si="0"/>
        <v>0</v>
      </c>
      <c r="N15" s="723">
        <f t="shared" si="0"/>
        <v>0</v>
      </c>
      <c r="O15" s="723">
        <f t="shared" ca="1" si="0"/>
        <v>37794.165546662167</v>
      </c>
      <c r="P15" s="723">
        <f t="shared" si="0"/>
        <v>470.56333333333333</v>
      </c>
      <c r="Q15" s="724">
        <f t="shared" si="0"/>
        <v>819.86666666666667</v>
      </c>
      <c r="R15" s="725">
        <f ca="1">SUM(R9:R14)</f>
        <v>512652.18854528363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1429.9251231640765</v>
      </c>
      <c r="I18" s="718">
        <f>transport!H54</f>
        <v>0</v>
      </c>
      <c r="J18" s="718">
        <f>transport!I54</f>
        <v>0</v>
      </c>
      <c r="K18" s="718">
        <f>transport!J54</f>
        <v>0</v>
      </c>
      <c r="L18" s="718">
        <f>transport!K54</f>
        <v>0</v>
      </c>
      <c r="M18" s="718">
        <f>transport!L54</f>
        <v>0</v>
      </c>
      <c r="N18" s="718">
        <f>transport!M54</f>
        <v>44.353078317676733</v>
      </c>
      <c r="O18" s="718">
        <f>transport!N54</f>
        <v>0</v>
      </c>
      <c r="P18" s="718">
        <f>transport!O54</f>
        <v>0</v>
      </c>
      <c r="Q18" s="719">
        <f>transport!P54</f>
        <v>0</v>
      </c>
      <c r="R18" s="721">
        <f>SUM(C18:Q18)</f>
        <v>1474.2782014817533</v>
      </c>
      <c r="S18" s="67"/>
    </row>
    <row r="19" spans="1:19" s="474" customFormat="1" ht="15" thickBot="1">
      <c r="A19" s="870" t="s">
        <v>307</v>
      </c>
      <c r="B19" s="875"/>
      <c r="C19" s="727">
        <f>transport!B14</f>
        <v>41.439862364149498</v>
      </c>
      <c r="D19" s="727">
        <f>transport!C14</f>
        <v>0</v>
      </c>
      <c r="E19" s="727">
        <f>transport!D14</f>
        <v>97.632483095345748</v>
      </c>
      <c r="F19" s="727">
        <f>transport!E14</f>
        <v>410.43155045639907</v>
      </c>
      <c r="G19" s="727">
        <f>transport!F14</f>
        <v>0</v>
      </c>
      <c r="H19" s="727">
        <f>transport!G14</f>
        <v>170069.28421339253</v>
      </c>
      <c r="I19" s="727">
        <f>transport!H14</f>
        <v>26616.259187367166</v>
      </c>
      <c r="J19" s="727">
        <f>transport!I14</f>
        <v>0</v>
      </c>
      <c r="K19" s="727">
        <f>transport!J14</f>
        <v>0</v>
      </c>
      <c r="L19" s="727">
        <f>transport!K14</f>
        <v>0</v>
      </c>
      <c r="M19" s="727">
        <f>transport!L14</f>
        <v>0</v>
      </c>
      <c r="N19" s="727">
        <f>transport!M14</f>
        <v>6155.2825793297561</v>
      </c>
      <c r="O19" s="727">
        <f>transport!N14</f>
        <v>0</v>
      </c>
      <c r="P19" s="727">
        <f>transport!O14</f>
        <v>0</v>
      </c>
      <c r="Q19" s="728">
        <f>transport!P14</f>
        <v>0</v>
      </c>
      <c r="R19" s="729">
        <f>SUM(C19:Q19)</f>
        <v>203390.32987600536</v>
      </c>
      <c r="S19" s="67"/>
    </row>
    <row r="20" spans="1:19" s="474" customFormat="1" ht="15.75" thickBot="1">
      <c r="A20" s="730" t="s">
        <v>230</v>
      </c>
      <c r="B20" s="878"/>
      <c r="C20" s="873">
        <f>SUM(C17:C19)</f>
        <v>41.439862364149498</v>
      </c>
      <c r="D20" s="731">
        <f t="shared" ref="D20:R20" si="1">SUM(D17:D19)</f>
        <v>0</v>
      </c>
      <c r="E20" s="731">
        <f t="shared" si="1"/>
        <v>97.632483095345748</v>
      </c>
      <c r="F20" s="731">
        <f t="shared" si="1"/>
        <v>410.43155045639907</v>
      </c>
      <c r="G20" s="731">
        <f t="shared" si="1"/>
        <v>0</v>
      </c>
      <c r="H20" s="731">
        <f t="shared" si="1"/>
        <v>171499.20933655661</v>
      </c>
      <c r="I20" s="731">
        <f t="shared" si="1"/>
        <v>26616.259187367166</v>
      </c>
      <c r="J20" s="731">
        <f t="shared" si="1"/>
        <v>0</v>
      </c>
      <c r="K20" s="731">
        <f t="shared" si="1"/>
        <v>0</v>
      </c>
      <c r="L20" s="731">
        <f t="shared" si="1"/>
        <v>0</v>
      </c>
      <c r="M20" s="731">
        <f t="shared" si="1"/>
        <v>0</v>
      </c>
      <c r="N20" s="731">
        <f t="shared" si="1"/>
        <v>6199.6356576474327</v>
      </c>
      <c r="O20" s="731">
        <f t="shared" si="1"/>
        <v>0</v>
      </c>
      <c r="P20" s="731">
        <f t="shared" si="1"/>
        <v>0</v>
      </c>
      <c r="Q20" s="732">
        <f t="shared" si="1"/>
        <v>0</v>
      </c>
      <c r="R20" s="733">
        <f t="shared" si="1"/>
        <v>204864.60807748712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2128.4340000000002</v>
      </c>
      <c r="D22" s="727">
        <f>+landbouw!C8</f>
        <v>29976.428571428572</v>
      </c>
      <c r="E22" s="727">
        <f>+landbouw!D8</f>
        <v>0</v>
      </c>
      <c r="F22" s="727">
        <f>+landbouw!E8</f>
        <v>54.884140618271744</v>
      </c>
      <c r="G22" s="727">
        <f>+landbouw!F8</f>
        <v>7779.8316105650147</v>
      </c>
      <c r="H22" s="727">
        <f>+landbouw!G8</f>
        <v>0</v>
      </c>
      <c r="I22" s="727">
        <f>+landbouw!H8</f>
        <v>0</v>
      </c>
      <c r="J22" s="727">
        <f>+landbouw!I8</f>
        <v>0</v>
      </c>
      <c r="K22" s="727">
        <f>+landbouw!J8</f>
        <v>306.41619802833719</v>
      </c>
      <c r="L22" s="727">
        <f>+landbouw!K8</f>
        <v>0</v>
      </c>
      <c r="M22" s="727">
        <f>+landbouw!L8</f>
        <v>0</v>
      </c>
      <c r="N22" s="727">
        <f>+landbouw!M8</f>
        <v>0</v>
      </c>
      <c r="O22" s="727">
        <f>+landbouw!N8</f>
        <v>0</v>
      </c>
      <c r="P22" s="727">
        <f>+landbouw!O8</f>
        <v>0</v>
      </c>
      <c r="Q22" s="728">
        <f>+landbouw!P8</f>
        <v>0</v>
      </c>
      <c r="R22" s="729">
        <f>SUM(C22:Q22)</f>
        <v>40245.994520640197</v>
      </c>
      <c r="S22" s="67"/>
    </row>
    <row r="23" spans="1:19" s="474" customFormat="1" ht="17.25" thickTop="1" thickBot="1">
      <c r="A23" s="734" t="s">
        <v>116</v>
      </c>
      <c r="B23" s="864"/>
      <c r="C23" s="735">
        <f ca="1">C20+C15+C22</f>
        <v>155473.0351512979</v>
      </c>
      <c r="D23" s="735">
        <f t="shared" ref="D23:Q23" ca="1" si="2">D20+D15+D22</f>
        <v>29976.428571428572</v>
      </c>
      <c r="E23" s="735">
        <f t="shared" ca="1" si="2"/>
        <v>279541.94332839648</v>
      </c>
      <c r="F23" s="735">
        <f t="shared" si="2"/>
        <v>12259.265138645542</v>
      </c>
      <c r="G23" s="735">
        <f t="shared" ca="1" si="2"/>
        <v>36507.688733276933</v>
      </c>
      <c r="H23" s="735">
        <f t="shared" si="2"/>
        <v>171499.20933655661</v>
      </c>
      <c r="I23" s="735">
        <f t="shared" si="2"/>
        <v>26616.259187367166</v>
      </c>
      <c r="J23" s="735">
        <f t="shared" si="2"/>
        <v>0</v>
      </c>
      <c r="K23" s="735">
        <f t="shared" si="2"/>
        <v>604.73049213211596</v>
      </c>
      <c r="L23" s="735">
        <f t="shared" si="2"/>
        <v>0</v>
      </c>
      <c r="M23" s="735">
        <f t="shared" ca="1" si="2"/>
        <v>0</v>
      </c>
      <c r="N23" s="735">
        <f t="shared" si="2"/>
        <v>6199.6356576474327</v>
      </c>
      <c r="O23" s="735">
        <f t="shared" ca="1" si="2"/>
        <v>37794.165546662167</v>
      </c>
      <c r="P23" s="735">
        <f t="shared" si="2"/>
        <v>470.56333333333333</v>
      </c>
      <c r="Q23" s="736">
        <f t="shared" si="2"/>
        <v>819.86666666666667</v>
      </c>
      <c r="R23" s="737">
        <f ca="1">R20+R15+R22</f>
        <v>757762.79114341096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12105.10022913887</v>
      </c>
      <c r="D36" s="718">
        <f ca="1">tertiair!C20</f>
        <v>0</v>
      </c>
      <c r="E36" s="718">
        <f ca="1">tertiair!D20</f>
        <v>19279.133693820004</v>
      </c>
      <c r="F36" s="718">
        <f>tertiair!E20</f>
        <v>306.38403902500841</v>
      </c>
      <c r="G36" s="718">
        <f ca="1">tertiair!F20</f>
        <v>3579.5886654337046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35270.206627417589</v>
      </c>
    </row>
    <row r="37" spans="1:18">
      <c r="A37" s="885" t="s">
        <v>225</v>
      </c>
      <c r="B37" s="892"/>
      <c r="C37" s="718">
        <f ca="1">huishoudens!B12</f>
        <v>8145.2228393329315</v>
      </c>
      <c r="D37" s="718">
        <f ca="1">huishoudens!C12</f>
        <v>0</v>
      </c>
      <c r="E37" s="718">
        <f>huishoudens!D12</f>
        <v>22434.615933290836</v>
      </c>
      <c r="F37" s="718">
        <f>huishoudens!E12</f>
        <v>1558.3282933195464</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32138.167065943315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8483.1821912555297</v>
      </c>
      <c r="D39" s="718">
        <f ca="1">industrie!C22</f>
        <v>0</v>
      </c>
      <c r="E39" s="718">
        <f>industrie!D22</f>
        <v>14734.001163640001</v>
      </c>
      <c r="F39" s="718">
        <f>industrie!E22</f>
        <v>812.51419225403322</v>
      </c>
      <c r="G39" s="718">
        <f>industrie!F22</f>
        <v>4090.7491863303776</v>
      </c>
      <c r="H39" s="718">
        <f>industrie!G22</f>
        <v>0</v>
      </c>
      <c r="I39" s="718">
        <f>industrie!H22</f>
        <v>0</v>
      </c>
      <c r="J39" s="718">
        <f>industrie!I22</f>
        <v>0</v>
      </c>
      <c r="K39" s="718">
        <f>industrie!J22</f>
        <v>105.60326011273767</v>
      </c>
      <c r="L39" s="718">
        <f>industrie!K22</f>
        <v>0</v>
      </c>
      <c r="M39" s="718">
        <f>industrie!L22</f>
        <v>0</v>
      </c>
      <c r="N39" s="718">
        <f>industrie!M22</f>
        <v>0</v>
      </c>
      <c r="O39" s="718">
        <f>industrie!N22</f>
        <v>0</v>
      </c>
      <c r="P39" s="718">
        <f>industrie!O22</f>
        <v>0</v>
      </c>
      <c r="Q39" s="828">
        <f>industrie!P22</f>
        <v>0</v>
      </c>
      <c r="R39" s="918">
        <f ca="1">SUM(C39:Q39)</f>
        <v>28226.049993592678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28733.505259727332</v>
      </c>
      <c r="D41" s="763">
        <f t="shared" ref="D41:R41" ca="1" si="4">SUM(D35:D40)</f>
        <v>0</v>
      </c>
      <c r="E41" s="763">
        <f t="shared" ca="1" si="4"/>
        <v>56447.750790750841</v>
      </c>
      <c r="F41" s="763">
        <f t="shared" si="4"/>
        <v>2677.2265245985882</v>
      </c>
      <c r="G41" s="763">
        <f t="shared" ca="1" si="4"/>
        <v>7670.3378517640822</v>
      </c>
      <c r="H41" s="763">
        <f t="shared" si="4"/>
        <v>0</v>
      </c>
      <c r="I41" s="763">
        <f t="shared" si="4"/>
        <v>0</v>
      </c>
      <c r="J41" s="763">
        <f t="shared" si="4"/>
        <v>0</v>
      </c>
      <c r="K41" s="763">
        <f t="shared" si="4"/>
        <v>105.60326011273767</v>
      </c>
      <c r="L41" s="763">
        <f t="shared" si="4"/>
        <v>0</v>
      </c>
      <c r="M41" s="763">
        <f t="shared" ca="1" si="4"/>
        <v>0</v>
      </c>
      <c r="N41" s="763">
        <f t="shared" si="4"/>
        <v>0</v>
      </c>
      <c r="O41" s="763">
        <f t="shared" ca="1" si="4"/>
        <v>0</v>
      </c>
      <c r="P41" s="763">
        <f t="shared" si="4"/>
        <v>0</v>
      </c>
      <c r="Q41" s="764">
        <f t="shared" si="4"/>
        <v>0</v>
      </c>
      <c r="R41" s="765">
        <f t="shared" ca="1" si="4"/>
        <v>95634.423686953582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381.79000788480846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381.79000788480846</v>
      </c>
    </row>
    <row r="45" spans="1:18" ht="15" thickBot="1">
      <c r="A45" s="888" t="s">
        <v>307</v>
      </c>
      <c r="B45" s="898"/>
      <c r="C45" s="727">
        <f ca="1">transport!B18</f>
        <v>7.7670446792581469</v>
      </c>
      <c r="D45" s="727">
        <f>transport!C18</f>
        <v>0</v>
      </c>
      <c r="E45" s="727">
        <f>transport!D18</f>
        <v>19.721761585259841</v>
      </c>
      <c r="F45" s="727">
        <f>transport!E18</f>
        <v>93.167961953602585</v>
      </c>
      <c r="G45" s="727">
        <f>transport!F18</f>
        <v>0</v>
      </c>
      <c r="H45" s="727">
        <f>transport!G18</f>
        <v>45408.498884975808</v>
      </c>
      <c r="I45" s="727">
        <f>transport!H18</f>
        <v>6627.4485376544244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52156.604190848353</v>
      </c>
    </row>
    <row r="46" spans="1:18" ht="15.75" thickBot="1">
      <c r="A46" s="886" t="s">
        <v>230</v>
      </c>
      <c r="B46" s="899"/>
      <c r="C46" s="763">
        <f t="shared" ref="C46:R46" ca="1" si="5">SUM(C43:C45)</f>
        <v>7.7670446792581469</v>
      </c>
      <c r="D46" s="763">
        <f t="shared" ca="1" si="5"/>
        <v>0</v>
      </c>
      <c r="E46" s="763">
        <f t="shared" si="5"/>
        <v>19.721761585259841</v>
      </c>
      <c r="F46" s="763">
        <f t="shared" si="5"/>
        <v>93.167961953602585</v>
      </c>
      <c r="G46" s="763">
        <f t="shared" si="5"/>
        <v>0</v>
      </c>
      <c r="H46" s="763">
        <f t="shared" si="5"/>
        <v>45790.288892860619</v>
      </c>
      <c r="I46" s="763">
        <f t="shared" si="5"/>
        <v>6627.4485376544244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52538.394198733164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398.93090931580917</v>
      </c>
      <c r="D48" s="718">
        <f ca="1">+landbouw!C12</f>
        <v>6303.4184873949598</v>
      </c>
      <c r="E48" s="718">
        <f>+landbouw!D12</f>
        <v>0</v>
      </c>
      <c r="F48" s="718">
        <f>+landbouw!E12</f>
        <v>12.458699920347685</v>
      </c>
      <c r="G48" s="718">
        <f>+landbouw!F12</f>
        <v>2077.2150400208589</v>
      </c>
      <c r="H48" s="718">
        <f>+landbouw!G12</f>
        <v>0</v>
      </c>
      <c r="I48" s="718">
        <f>+landbouw!H12</f>
        <v>0</v>
      </c>
      <c r="J48" s="718">
        <f>+landbouw!I12</f>
        <v>0</v>
      </c>
      <c r="K48" s="718">
        <f>+landbouw!J12</f>
        <v>108.47133410203136</v>
      </c>
      <c r="L48" s="718">
        <f>+landbouw!K12</f>
        <v>0</v>
      </c>
      <c r="M48" s="718">
        <f>+landbouw!L12</f>
        <v>0</v>
      </c>
      <c r="N48" s="718">
        <f>+landbouw!M12</f>
        <v>0</v>
      </c>
      <c r="O48" s="718">
        <f>+landbouw!N12</f>
        <v>0</v>
      </c>
      <c r="P48" s="718">
        <f>+landbouw!O12</f>
        <v>0</v>
      </c>
      <c r="Q48" s="719">
        <f>+landbouw!P12</f>
        <v>0</v>
      </c>
      <c r="R48" s="761">
        <f ca="1">SUM(C48:Q48)</f>
        <v>8900.4944707540053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29140.203213722398</v>
      </c>
      <c r="D53" s="773">
        <f t="shared" ref="D53:Q53" ca="1" si="6">D41+D46+D48</f>
        <v>6303.4184873949598</v>
      </c>
      <c r="E53" s="773">
        <f t="shared" ca="1" si="6"/>
        <v>56467.472552336098</v>
      </c>
      <c r="F53" s="773">
        <f t="shared" si="6"/>
        <v>2782.8531864725383</v>
      </c>
      <c r="G53" s="773">
        <f t="shared" ca="1" si="6"/>
        <v>9747.5528917849406</v>
      </c>
      <c r="H53" s="773">
        <f t="shared" si="6"/>
        <v>45790.288892860619</v>
      </c>
      <c r="I53" s="773">
        <f t="shared" si="6"/>
        <v>6627.4485376544244</v>
      </c>
      <c r="J53" s="773">
        <f t="shared" si="6"/>
        <v>0</v>
      </c>
      <c r="K53" s="773">
        <f t="shared" si="6"/>
        <v>214.07459421476904</v>
      </c>
      <c r="L53" s="773">
        <f t="shared" si="6"/>
        <v>0</v>
      </c>
      <c r="M53" s="773">
        <f t="shared" ca="1" si="6"/>
        <v>0</v>
      </c>
      <c r="N53" s="773">
        <f t="shared" si="6"/>
        <v>0</v>
      </c>
      <c r="O53" s="773">
        <f t="shared" ca="1" si="6"/>
        <v>0</v>
      </c>
      <c r="P53" s="773">
        <f>P41+P46+P48</f>
        <v>0</v>
      </c>
      <c r="Q53" s="774">
        <f t="shared" si="6"/>
        <v>0</v>
      </c>
      <c r="R53" s="775">
        <f ca="1">R41+R46+R48</f>
        <v>157073.31235644076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0.18742930685931961</v>
      </c>
      <c r="D55" s="836">
        <f t="shared" ca="1" si="7"/>
        <v>0.21027916892684595</v>
      </c>
      <c r="E55" s="836">
        <f t="shared" ca="1" si="7"/>
        <v>0.20200000000000004</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3527.4803501596771</v>
      </c>
      <c r="C64" s="795">
        <f>'lokale energieproductie'!B4</f>
        <v>3527.4803501596771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17730.510581473383</v>
      </c>
      <c r="C66" s="795">
        <f>'lokale energieproductie'!B6</f>
        <v>17730.510581473383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20983.5</v>
      </c>
      <c r="C67" s="794">
        <f>B67*IFERROR(SUM(J67:L67)/SUM(D67:M67),0)</f>
        <v>2416.5000000000005</v>
      </c>
      <c r="D67" s="826">
        <f>'lokale energieproductie'!C7</f>
        <v>21843.529411764706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2842.9411764705883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4412.3929411764711</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43582.49093163306</v>
      </c>
      <c r="C69" s="803">
        <f>SUM(C64:C68)</f>
        <v>25015.49093163306</v>
      </c>
      <c r="D69" s="804">
        <f t="shared" ref="D69:M69" si="8">SUM(D67:D68)</f>
        <v>21843.529411764706</v>
      </c>
      <c r="E69" s="804">
        <f t="shared" si="8"/>
        <v>0</v>
      </c>
      <c r="F69" s="804">
        <f t="shared" si="8"/>
        <v>0</v>
      </c>
      <c r="G69" s="804">
        <f t="shared" si="8"/>
        <v>0</v>
      </c>
      <c r="H69" s="804">
        <f t="shared" si="8"/>
        <v>0</v>
      </c>
      <c r="I69" s="804">
        <f t="shared" si="8"/>
        <v>0</v>
      </c>
      <c r="J69" s="804">
        <f t="shared" si="8"/>
        <v>0</v>
      </c>
      <c r="K69" s="804">
        <f t="shared" si="8"/>
        <v>6674.3697478991598</v>
      </c>
      <c r="L69" s="804">
        <f t="shared" si="8"/>
        <v>0</v>
      </c>
      <c r="M69" s="930">
        <f t="shared" si="8"/>
        <v>0</v>
      </c>
      <c r="N69" s="805">
        <v>0</v>
      </c>
      <c r="O69" s="805">
        <f>SUM(O67:O68)</f>
        <v>4412.3929411764711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29976.428571428572</v>
      </c>
      <c r="C78" s="817">
        <f>B78*IFERROR(SUM(I78:L78)/SUM(D78:M78),0)</f>
        <v>3452.1428571428569</v>
      </c>
      <c r="D78" s="832">
        <f>'lokale energieproductie'!C16</f>
        <v>31205.042016806728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4061.3445378151264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6303.4184873949598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29976.428571428572</v>
      </c>
      <c r="C81" s="803">
        <f>SUM(C78:C80)</f>
        <v>3452.1428571428569</v>
      </c>
      <c r="D81" s="803">
        <f t="shared" ref="D81:P81" si="9">SUM(D78:D80)</f>
        <v>31205.042016806728</v>
      </c>
      <c r="E81" s="803">
        <f t="shared" si="9"/>
        <v>0</v>
      </c>
      <c r="F81" s="803">
        <f t="shared" si="9"/>
        <v>0</v>
      </c>
      <c r="G81" s="803">
        <f t="shared" si="9"/>
        <v>0</v>
      </c>
      <c r="H81" s="803">
        <f t="shared" si="9"/>
        <v>0</v>
      </c>
      <c r="I81" s="803">
        <f t="shared" si="9"/>
        <v>0</v>
      </c>
      <c r="J81" s="803">
        <f t="shared" si="9"/>
        <v>0</v>
      </c>
      <c r="K81" s="803">
        <f t="shared" si="9"/>
        <v>4061.3445378151264</v>
      </c>
      <c r="L81" s="803">
        <f t="shared" si="9"/>
        <v>0</v>
      </c>
      <c r="M81" s="803">
        <f t="shared" si="9"/>
        <v>0</v>
      </c>
      <c r="N81" s="803">
        <v>0</v>
      </c>
      <c r="O81" s="803">
        <f>SUM(O78:O80)</f>
        <v>6303.4184873949598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43457.573288933723</v>
      </c>
      <c r="C4" s="478">
        <f>huishoudens!C8</f>
        <v>0</v>
      </c>
      <c r="D4" s="478">
        <f>huishoudens!D8</f>
        <v>111062.45511530116</v>
      </c>
      <c r="E4" s="478">
        <f>huishoudens!E8</f>
        <v>6864.8823494253147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19496.718682442737</v>
      </c>
      <c r="O4" s="478">
        <f>huishoudens!O8</f>
        <v>469</v>
      </c>
      <c r="P4" s="479">
        <f>huishoudens!P8</f>
        <v>705.4666666666667</v>
      </c>
      <c r="Q4" s="480">
        <f>SUM(B4:P4)</f>
        <v>182056.0961027696</v>
      </c>
    </row>
    <row r="5" spans="1:17">
      <c r="A5" s="477" t="s">
        <v>156</v>
      </c>
      <c r="B5" s="478">
        <f ca="1">tertiair!B16</f>
        <v>62347.990000000005</v>
      </c>
      <c r="C5" s="478">
        <f ca="1">tertiair!C16</f>
        <v>0</v>
      </c>
      <c r="D5" s="478">
        <f ca="1">tertiair!D16</f>
        <v>95441.255910000007</v>
      </c>
      <c r="E5" s="478">
        <f>tertiair!E16</f>
        <v>1349.7094230176581</v>
      </c>
      <c r="F5" s="478">
        <f ca="1">tertiair!F16</f>
        <v>13406.699121474549</v>
      </c>
      <c r="G5" s="478">
        <f>tertiair!G16</f>
        <v>0</v>
      </c>
      <c r="H5" s="478">
        <f>tertiair!H16</f>
        <v>0</v>
      </c>
      <c r="I5" s="478">
        <f>tertiair!I16</f>
        <v>0</v>
      </c>
      <c r="J5" s="478">
        <f>tertiair!J16</f>
        <v>0</v>
      </c>
      <c r="K5" s="478">
        <f>tertiair!K16</f>
        <v>0</v>
      </c>
      <c r="L5" s="478">
        <f ca="1">tertiair!L16</f>
        <v>0</v>
      </c>
      <c r="M5" s="478">
        <f>tertiair!M16</f>
        <v>0</v>
      </c>
      <c r="N5" s="478">
        <f ca="1">tertiair!N16</f>
        <v>5562.3902744483466</v>
      </c>
      <c r="O5" s="478">
        <f>tertiair!O16</f>
        <v>1.5633333333333335</v>
      </c>
      <c r="P5" s="479">
        <f>tertiair!P16</f>
        <v>114.4</v>
      </c>
      <c r="Q5" s="477">
        <f t="shared" ref="Q5:Q13" ca="1" si="0">SUM(B5:P5)</f>
        <v>178224.00806227388</v>
      </c>
    </row>
    <row r="6" spans="1:17">
      <c r="A6" s="477" t="s">
        <v>194</v>
      </c>
      <c r="B6" s="478">
        <f>'openbare verlichting'!B8</f>
        <v>2236.895</v>
      </c>
      <c r="C6" s="478"/>
      <c r="D6" s="478"/>
      <c r="E6" s="478"/>
      <c r="F6" s="478"/>
      <c r="G6" s="478"/>
      <c r="H6" s="478"/>
      <c r="I6" s="478"/>
      <c r="J6" s="478"/>
      <c r="K6" s="478"/>
      <c r="L6" s="478"/>
      <c r="M6" s="478"/>
      <c r="N6" s="478"/>
      <c r="O6" s="478"/>
      <c r="P6" s="479"/>
      <c r="Q6" s="477">
        <f t="shared" si="0"/>
        <v>2236.895</v>
      </c>
    </row>
    <row r="7" spans="1:17">
      <c r="A7" s="477" t="s">
        <v>112</v>
      </c>
      <c r="B7" s="478">
        <f>landbouw!B8</f>
        <v>2128.4340000000002</v>
      </c>
      <c r="C7" s="478">
        <f>landbouw!C8</f>
        <v>29976.428571428572</v>
      </c>
      <c r="D7" s="478">
        <f>landbouw!D8</f>
        <v>0</v>
      </c>
      <c r="E7" s="478">
        <f>landbouw!E8</f>
        <v>54.884140618271744</v>
      </c>
      <c r="F7" s="478">
        <f>landbouw!F8</f>
        <v>7779.8316105650147</v>
      </c>
      <c r="G7" s="478">
        <f>landbouw!G8</f>
        <v>0</v>
      </c>
      <c r="H7" s="478">
        <f>landbouw!H8</f>
        <v>0</v>
      </c>
      <c r="I7" s="478">
        <f>landbouw!I8</f>
        <v>0</v>
      </c>
      <c r="J7" s="478">
        <f>landbouw!J8</f>
        <v>306.41619802833719</v>
      </c>
      <c r="K7" s="478">
        <f>landbouw!K8</f>
        <v>0</v>
      </c>
      <c r="L7" s="478">
        <f>landbouw!L8</f>
        <v>0</v>
      </c>
      <c r="M7" s="478">
        <f>landbouw!M8</f>
        <v>0</v>
      </c>
      <c r="N7" s="478">
        <f>landbouw!N8</f>
        <v>0</v>
      </c>
      <c r="O7" s="478">
        <f>landbouw!O8</f>
        <v>0</v>
      </c>
      <c r="P7" s="479">
        <f>landbouw!P8</f>
        <v>0</v>
      </c>
      <c r="Q7" s="477">
        <f t="shared" si="0"/>
        <v>40245.994520640197</v>
      </c>
    </row>
    <row r="8" spans="1:17">
      <c r="A8" s="477" t="s">
        <v>638</v>
      </c>
      <c r="B8" s="478">
        <f>industrie!B18</f>
        <v>45260.703000000009</v>
      </c>
      <c r="C8" s="478">
        <f>industrie!C18</f>
        <v>0</v>
      </c>
      <c r="D8" s="478">
        <f>industrie!D18</f>
        <v>72940.599820000003</v>
      </c>
      <c r="E8" s="478">
        <f>industrie!E18</f>
        <v>3579.3576751278997</v>
      </c>
      <c r="F8" s="478">
        <f>industrie!F18</f>
        <v>15321.158001237369</v>
      </c>
      <c r="G8" s="478">
        <f>industrie!G18</f>
        <v>0</v>
      </c>
      <c r="H8" s="478">
        <f>industrie!H18</f>
        <v>0</v>
      </c>
      <c r="I8" s="478">
        <f>industrie!I18</f>
        <v>0</v>
      </c>
      <c r="J8" s="478">
        <f>industrie!J18</f>
        <v>298.31429410377876</v>
      </c>
      <c r="K8" s="478">
        <f>industrie!K18</f>
        <v>0</v>
      </c>
      <c r="L8" s="478">
        <f>industrie!L18</f>
        <v>0</v>
      </c>
      <c r="M8" s="478">
        <f>industrie!M18</f>
        <v>0</v>
      </c>
      <c r="N8" s="478">
        <f>industrie!N18</f>
        <v>12735.056589771086</v>
      </c>
      <c r="O8" s="478">
        <f>industrie!O18</f>
        <v>0</v>
      </c>
      <c r="P8" s="479">
        <f>industrie!P18</f>
        <v>0</v>
      </c>
      <c r="Q8" s="477">
        <f t="shared" si="0"/>
        <v>150135.18938024013</v>
      </c>
    </row>
    <row r="9" spans="1:17" s="483" customFormat="1">
      <c r="A9" s="481" t="s">
        <v>564</v>
      </c>
      <c r="B9" s="482">
        <f>transport!B14</f>
        <v>41.439862364149498</v>
      </c>
      <c r="C9" s="482">
        <f>transport!C14</f>
        <v>0</v>
      </c>
      <c r="D9" s="482">
        <f>transport!D14</f>
        <v>97.632483095345748</v>
      </c>
      <c r="E9" s="482">
        <f>transport!E14</f>
        <v>410.43155045639907</v>
      </c>
      <c r="F9" s="482">
        <f>transport!F14</f>
        <v>0</v>
      </c>
      <c r="G9" s="482">
        <f>transport!G14</f>
        <v>170069.28421339253</v>
      </c>
      <c r="H9" s="482">
        <f>transport!H14</f>
        <v>26616.259187367166</v>
      </c>
      <c r="I9" s="482">
        <f>transport!I14</f>
        <v>0</v>
      </c>
      <c r="J9" s="482">
        <f>transport!J14</f>
        <v>0</v>
      </c>
      <c r="K9" s="482">
        <f>transport!K14</f>
        <v>0</v>
      </c>
      <c r="L9" s="482">
        <f>transport!L14</f>
        <v>0</v>
      </c>
      <c r="M9" s="482">
        <f>transport!M14</f>
        <v>6155.2825793297561</v>
      </c>
      <c r="N9" s="482">
        <f>transport!N14</f>
        <v>0</v>
      </c>
      <c r="O9" s="482">
        <f>transport!O14</f>
        <v>0</v>
      </c>
      <c r="P9" s="482">
        <f>transport!P14</f>
        <v>0</v>
      </c>
      <c r="Q9" s="481">
        <f>SUM(B9:P9)</f>
        <v>203390.32987600536</v>
      </c>
    </row>
    <row r="10" spans="1:17">
      <c r="A10" s="477" t="s">
        <v>554</v>
      </c>
      <c r="B10" s="478">
        <f>transport!B54</f>
        <v>0</v>
      </c>
      <c r="C10" s="478">
        <f>transport!C54</f>
        <v>0</v>
      </c>
      <c r="D10" s="478">
        <f>transport!D54</f>
        <v>0</v>
      </c>
      <c r="E10" s="478">
        <f>transport!E54</f>
        <v>0</v>
      </c>
      <c r="F10" s="478">
        <f>transport!F54</f>
        <v>0</v>
      </c>
      <c r="G10" s="478">
        <f>transport!G54</f>
        <v>1429.9251231640765</v>
      </c>
      <c r="H10" s="478">
        <f>transport!H54</f>
        <v>0</v>
      </c>
      <c r="I10" s="478">
        <f>transport!I54</f>
        <v>0</v>
      </c>
      <c r="J10" s="478">
        <f>transport!J54</f>
        <v>0</v>
      </c>
      <c r="K10" s="478">
        <f>transport!K54</f>
        <v>0</v>
      </c>
      <c r="L10" s="478">
        <f>transport!L54</f>
        <v>0</v>
      </c>
      <c r="M10" s="478">
        <f>transport!M54</f>
        <v>44.353078317676733</v>
      </c>
      <c r="N10" s="478">
        <f>transport!N54</f>
        <v>0</v>
      </c>
      <c r="O10" s="478">
        <f>transport!O54</f>
        <v>0</v>
      </c>
      <c r="P10" s="479">
        <f>transport!P54</f>
        <v>0</v>
      </c>
      <c r="Q10" s="477">
        <f t="shared" si="0"/>
        <v>1474.2782014817533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155473.03515129787</v>
      </c>
      <c r="C14" s="488">
        <f t="shared" ref="C14:Q14" ca="1" si="1">SUM(C4:C13)</f>
        <v>29976.428571428572</v>
      </c>
      <c r="D14" s="488">
        <f t="shared" ca="1" si="1"/>
        <v>279541.94332839648</v>
      </c>
      <c r="E14" s="488">
        <f t="shared" si="1"/>
        <v>12259.265138645542</v>
      </c>
      <c r="F14" s="488">
        <f t="shared" ca="1" si="1"/>
        <v>36507.688733276933</v>
      </c>
      <c r="G14" s="488">
        <f t="shared" si="1"/>
        <v>171499.20933655661</v>
      </c>
      <c r="H14" s="488">
        <f t="shared" si="1"/>
        <v>26616.259187367166</v>
      </c>
      <c r="I14" s="488">
        <f t="shared" si="1"/>
        <v>0</v>
      </c>
      <c r="J14" s="488">
        <f t="shared" si="1"/>
        <v>604.73049213211596</v>
      </c>
      <c r="K14" s="488">
        <f t="shared" si="1"/>
        <v>0</v>
      </c>
      <c r="L14" s="488">
        <f t="shared" ca="1" si="1"/>
        <v>0</v>
      </c>
      <c r="M14" s="488">
        <f t="shared" si="1"/>
        <v>6199.6356576474327</v>
      </c>
      <c r="N14" s="488">
        <f t="shared" ca="1" si="1"/>
        <v>37794.165546662167</v>
      </c>
      <c r="O14" s="488">
        <f t="shared" si="1"/>
        <v>470.56333333333333</v>
      </c>
      <c r="P14" s="489">
        <f t="shared" si="1"/>
        <v>819.86666666666667</v>
      </c>
      <c r="Q14" s="489">
        <f t="shared" ca="1" si="1"/>
        <v>757762.79114341084</v>
      </c>
    </row>
    <row r="16" spans="1:17">
      <c r="A16" s="491" t="s">
        <v>559</v>
      </c>
      <c r="B16" s="841">
        <f ca="1">huishoudens!B10</f>
        <v>0.18742930685931963</v>
      </c>
      <c r="C16" s="841">
        <f ca="1">huishoudens!C10</f>
        <v>0.21027916892684595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8145.2228393329315</v>
      </c>
      <c r="C21" s="478">
        <f t="shared" ref="C21:C30" ca="1" si="3">C4*$C$16</f>
        <v>0</v>
      </c>
      <c r="D21" s="478">
        <f t="shared" ref="D21:D30" si="4">D4*$D$16</f>
        <v>22434.615933290836</v>
      </c>
      <c r="E21" s="478">
        <f t="shared" ref="E21:E30" si="5">E4*$E$16</f>
        <v>1558.3282933195464</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32138.167065943315</v>
      </c>
    </row>
    <row r="22" spans="1:17">
      <c r="A22" s="477" t="s">
        <v>156</v>
      </c>
      <c r="B22" s="478">
        <f t="shared" ca="1" si="2"/>
        <v>11685.840549771792</v>
      </c>
      <c r="C22" s="478">
        <f t="shared" ca="1" si="3"/>
        <v>0</v>
      </c>
      <c r="D22" s="478">
        <f t="shared" ca="1" si="4"/>
        <v>19279.133693820004</v>
      </c>
      <c r="E22" s="478">
        <f t="shared" si="5"/>
        <v>306.38403902500841</v>
      </c>
      <c r="F22" s="478">
        <f t="shared" ca="1" si="6"/>
        <v>3579.5886654337046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34850.946948050507</v>
      </c>
    </row>
    <row r="23" spans="1:17">
      <c r="A23" s="477" t="s">
        <v>194</v>
      </c>
      <c r="B23" s="478">
        <f t="shared" ca="1" si="2"/>
        <v>419.25967936707781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419.25967936707781</v>
      </c>
    </row>
    <row r="24" spans="1:17">
      <c r="A24" s="477" t="s">
        <v>112</v>
      </c>
      <c r="B24" s="478">
        <f t="shared" ca="1" si="2"/>
        <v>398.93090931580917</v>
      </c>
      <c r="C24" s="478">
        <f t="shared" ca="1" si="3"/>
        <v>6303.4184873949598</v>
      </c>
      <c r="D24" s="478">
        <f t="shared" si="4"/>
        <v>0</v>
      </c>
      <c r="E24" s="478">
        <f t="shared" si="5"/>
        <v>12.458699920347685</v>
      </c>
      <c r="F24" s="478">
        <f t="shared" si="6"/>
        <v>2077.2150400208589</v>
      </c>
      <c r="G24" s="478">
        <f t="shared" si="7"/>
        <v>0</v>
      </c>
      <c r="H24" s="478">
        <f t="shared" si="8"/>
        <v>0</v>
      </c>
      <c r="I24" s="478">
        <f t="shared" si="9"/>
        <v>0</v>
      </c>
      <c r="J24" s="478">
        <f t="shared" si="10"/>
        <v>108.47133410203136</v>
      </c>
      <c r="K24" s="478">
        <f t="shared" si="11"/>
        <v>0</v>
      </c>
      <c r="L24" s="478">
        <f t="shared" si="12"/>
        <v>0</v>
      </c>
      <c r="M24" s="478">
        <f t="shared" si="13"/>
        <v>0</v>
      </c>
      <c r="N24" s="478">
        <f t="shared" si="14"/>
        <v>0</v>
      </c>
      <c r="O24" s="478">
        <f t="shared" si="15"/>
        <v>0</v>
      </c>
      <c r="P24" s="479">
        <f t="shared" si="16"/>
        <v>0</v>
      </c>
      <c r="Q24" s="477">
        <f t="shared" ca="1" si="17"/>
        <v>8900.4944707540053</v>
      </c>
    </row>
    <row r="25" spans="1:17">
      <c r="A25" s="477" t="s">
        <v>638</v>
      </c>
      <c r="B25" s="478">
        <f t="shared" ca="1" si="2"/>
        <v>8483.1821912555297</v>
      </c>
      <c r="C25" s="478">
        <f t="shared" ca="1" si="3"/>
        <v>0</v>
      </c>
      <c r="D25" s="478">
        <f t="shared" si="4"/>
        <v>14734.001163640001</v>
      </c>
      <c r="E25" s="478">
        <f t="shared" si="5"/>
        <v>812.51419225403322</v>
      </c>
      <c r="F25" s="478">
        <f t="shared" si="6"/>
        <v>4090.7491863303776</v>
      </c>
      <c r="G25" s="478">
        <f t="shared" si="7"/>
        <v>0</v>
      </c>
      <c r="H25" s="478">
        <f t="shared" si="8"/>
        <v>0</v>
      </c>
      <c r="I25" s="478">
        <f t="shared" si="9"/>
        <v>0</v>
      </c>
      <c r="J25" s="478">
        <f t="shared" si="10"/>
        <v>105.60326011273767</v>
      </c>
      <c r="K25" s="478">
        <f t="shared" si="11"/>
        <v>0</v>
      </c>
      <c r="L25" s="478">
        <f t="shared" si="12"/>
        <v>0</v>
      </c>
      <c r="M25" s="478">
        <f t="shared" si="13"/>
        <v>0</v>
      </c>
      <c r="N25" s="478">
        <f t="shared" si="14"/>
        <v>0</v>
      </c>
      <c r="O25" s="478">
        <f t="shared" si="15"/>
        <v>0</v>
      </c>
      <c r="P25" s="479">
        <f t="shared" si="16"/>
        <v>0</v>
      </c>
      <c r="Q25" s="477">
        <f t="shared" ca="1" si="17"/>
        <v>28226.049993592678</v>
      </c>
    </row>
    <row r="26" spans="1:17" s="483" customFormat="1">
      <c r="A26" s="481" t="s">
        <v>564</v>
      </c>
      <c r="B26" s="835">
        <f t="shared" ca="1" si="2"/>
        <v>7.7670446792581469</v>
      </c>
      <c r="C26" s="482">
        <f t="shared" ca="1" si="3"/>
        <v>0</v>
      </c>
      <c r="D26" s="482">
        <f t="shared" si="4"/>
        <v>19.721761585259841</v>
      </c>
      <c r="E26" s="482">
        <f t="shared" si="5"/>
        <v>93.167961953602585</v>
      </c>
      <c r="F26" s="482">
        <f t="shared" si="6"/>
        <v>0</v>
      </c>
      <c r="G26" s="482">
        <f t="shared" si="7"/>
        <v>45408.498884975808</v>
      </c>
      <c r="H26" s="482">
        <f t="shared" si="8"/>
        <v>6627.4485376544244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52156.604190848353</v>
      </c>
    </row>
    <row r="27" spans="1:17">
      <c r="A27" s="477" t="s">
        <v>554</v>
      </c>
      <c r="B27" s="478">
        <f t="shared" ca="1" si="2"/>
        <v>0</v>
      </c>
      <c r="C27" s="478">
        <f t="shared" ca="1" si="3"/>
        <v>0</v>
      </c>
      <c r="D27" s="478">
        <f t="shared" si="4"/>
        <v>0</v>
      </c>
      <c r="E27" s="478">
        <f t="shared" si="5"/>
        <v>0</v>
      </c>
      <c r="F27" s="478">
        <f t="shared" si="6"/>
        <v>0</v>
      </c>
      <c r="G27" s="478">
        <f t="shared" si="7"/>
        <v>381.79000788480846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381.79000788480846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29140.203213722398</v>
      </c>
      <c r="C31" s="488">
        <f t="shared" ca="1" si="18"/>
        <v>6303.4184873949598</v>
      </c>
      <c r="D31" s="488">
        <f t="shared" ca="1" si="18"/>
        <v>56467.472552336098</v>
      </c>
      <c r="E31" s="488">
        <f t="shared" si="18"/>
        <v>2782.8531864725383</v>
      </c>
      <c r="F31" s="488">
        <f t="shared" ca="1" si="18"/>
        <v>9747.5528917849406</v>
      </c>
      <c r="G31" s="488">
        <f t="shared" si="18"/>
        <v>45790.288892860619</v>
      </c>
      <c r="H31" s="488">
        <f t="shared" si="18"/>
        <v>6627.4485376544244</v>
      </c>
      <c r="I31" s="488">
        <f t="shared" si="18"/>
        <v>0</v>
      </c>
      <c r="J31" s="488">
        <f t="shared" si="18"/>
        <v>214.07459421476904</v>
      </c>
      <c r="K31" s="488">
        <f t="shared" si="18"/>
        <v>0</v>
      </c>
      <c r="L31" s="488">
        <f t="shared" ca="1" si="18"/>
        <v>0</v>
      </c>
      <c r="M31" s="488">
        <f t="shared" si="18"/>
        <v>0</v>
      </c>
      <c r="N31" s="488">
        <f t="shared" ca="1" si="18"/>
        <v>0</v>
      </c>
      <c r="O31" s="488">
        <f t="shared" si="18"/>
        <v>0</v>
      </c>
      <c r="P31" s="489">
        <f t="shared" si="18"/>
        <v>0</v>
      </c>
      <c r="Q31" s="489">
        <f t="shared" ca="1" si="18"/>
        <v>157073.31235644076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0.18742930685931963</v>
      </c>
      <c r="C17" s="528">
        <f ca="1">'EF ele_warmte'!B22</f>
        <v>0.21027916892684595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4.6900000000000004</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0.18742930685931963</v>
      </c>
      <c r="C17" s="528">
        <f ca="1">'EF ele_warmte'!B22</f>
        <v>0.21027916892684595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0.18742930685931963</v>
      </c>
      <c r="C29" s="529">
        <f ca="1">'EF ele_warmte'!B22</f>
        <v>0.21027916892684595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2018-06-27T09:42:44Z</dcterms:modified>
</cp:coreProperties>
</file>