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<sst xmlns="http://schemas.openxmlformats.org/spreadsheetml/2006/main" count="1924" uniqueCount="818">
  <si>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</si>
  <si>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</si>
  <si>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</si>
  <si>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</si>
  <si>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</si>
  <si>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</si>
  <si>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</si>
  <si>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</si>
  <si>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</si>
  <si>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</si>
  <si>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</si>
  <si>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</si>
  <si>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</si>
  <si>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</si>
  <si>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</si>
  <si>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</si>
  <si>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</si>
  <si>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</si>
  <si>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</si>
  <si>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</si>
  <si>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</si>
  <si>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</si>
  <si>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</si>
  <si>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</si>
  <si>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</si>
  <si>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</si>
  <si>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</si>
  <si>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</si>
  <si>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</si>
  <si>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</si>
  <si>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</si>
  <si>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</si>
  <si>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</si>
  <si>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</si>
  <si>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</si>
  <si>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</si>
  <si>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</si>
  <si>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</si>
  <si>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</si>
  <si>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</si>
  <si>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</si>
  <si>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</si>
  <si>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</si>
  <si>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</si>
  <si>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</si>
  <si>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</si>
  <si>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</si>
  <si>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</si>
  <si>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</si>
  <si>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</si>
  <si>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</si>
  <si>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</si>
  <si>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</si>
  <si>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</si>
  <si>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</si>
  <si>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</si>
  <si>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</si>
  <si>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</si>
  <si>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</si>
  <si>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</si>
  <si>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</si>
  <si>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</si>
  <si>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</si>
  <si>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</si>
  <si>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</si>
  <si>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</si>
  <si>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</si>
  <si>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</si>
  <si>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</si>
  <si>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</si>
  <si>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</si>
  <si>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</si>
  <si>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</si>
  <si>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</si>
  <si>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</si>
  <si>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</si>
  <si>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</si>
  <si>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</si>
  <si>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</si>
  <si>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</si>
  <si>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</si>
  <si>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</si>
  <si>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</si>
  <si>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</si>
  <si>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</si>
  <si>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</si>
  <si>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</si>
  <si>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</si>
  <si>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</si>
  <si>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</si>
  <si>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</si>
  <si>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</si>
  <si>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</si>
  <si>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</si>
  <si>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</si>
  <si>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</si>
  <si>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</si>
  <si>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</si>
  <si>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</si>
  <si>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</si>
  <si>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</si>
  <si>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</si>
  <si>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</si>
  <si>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</si>
  <si>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</si>
  <si>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</si>
  <si>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</si>
  <si>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</si>
  <si>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</si>
  <si>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</si>
  <si>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</si>
  <si>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</si>
  <si>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</si>
  <si>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</si>
  <si>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</si>
  <si>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</si>
  <si>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</si>
  <si>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</si>
  <si>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</si>
  <si>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</si>
  <si>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</si>
  <si>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</si>
  <si>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</si>
  <si>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</si>
  <si>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</si>
  <si>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</si>
  <si>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</si>
  <si>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</si>
  <si>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</si>
  <si>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</si>
  <si>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</si>
  <si>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</si>
  <si>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</si>
  <si>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</si>
  <si>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</si>
  <si>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</si>
  <si>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</si>
  <si>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</si>
  <si>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</si>
  <si>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</si>
  <si>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</si>
  <si>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</si>
  <si>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</si>
  <si>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</si>
  <si>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</si>
  <si>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</si>
  <si>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</si>
  <si>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</si>
  <si>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</si>
  <si>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</si>
  <si>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</si>
  <si>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</si>
  <si>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</si>
  <si>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</si>
  <si>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</si>
  <si>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</si>
  <si>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</si>
  <si>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</si>
  <si>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</si>
  <si>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</si>
  <si>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</si>
  <si>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</si>
  <si>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</si>
  <si>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</si>
  <si>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</si>
  <si>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</si>
  <si>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</si>
  <si>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</si>
  <si>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</si>
  <si>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</si>
  <si>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</si>
  <si>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</si>
  <si>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</si>
  <si>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</si>
  <si>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</si>
  <si>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</si>
  <si>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</si>
  <si>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</si>
  <si>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</si>
  <si>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</si>
  <si>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</si>
  <si>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</si>
  <si>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</si>
  <si>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</si>
  <si>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</si>
  <si>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</si>
  <si>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</si>
  <si>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</si>
  <si>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</si>
  <si>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</si>
  <si>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</si>
  <si>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</si>
  <si>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</si>
  <si>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</si>
  <si>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</si>
  <si>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</si>
  <si>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</si>
  <si>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</si>
  <si>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</si>
  <si>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</si>
  <si>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</si>
  <si>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</si>
  <si>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</si>
  <si>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</si>
  <si>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</si>
  <si>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</si>
  <si>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</si>
  <si>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</si>
  <si>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</si>
  <si>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</si>
  <si>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</si>
  <si>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</si>
  <si>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</si>
  <si>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</si>
  <si>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</si>
  <si>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</si>
  <si>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</si>
  <si>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</si>
  <si>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</si>
  <si>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</si>
  <si>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</si>
  <si>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</si>
  <si>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</si>
  <si>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</si>
  <si>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</si>
  <si>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</si>
  <si>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</si>
  <si>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</si>
  <si>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</si>
  <si>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</si>
  <si>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</si>
  <si>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</si>
  <si>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</si>
  <si>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</si>
  <si>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</si>
  <si>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</si>
  <si>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</si>
  <si>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</si>
  <si>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</si>
  <si>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</si>
  <si>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</si>
  <si>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</si>
  <si>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</si>
  <si>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</si>
  <si>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</si>
  <si>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</si>
  <si>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</si>
  <si>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</si>
  <si>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</si>
  <si>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</si>
  <si>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</si>
  <si>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</si>
  <si>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</si>
  <si>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</si>
  <si>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</si>
  <si>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</si>
  <si>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</si>
  <si>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</si>
  <si>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</si>
  <si>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</si>
  <si>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</si>
  <si>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</si>
  <si>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</si>
  <si>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</si>
  <si>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</si>
  <si>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</si>
  <si>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</si>
  <si>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</si>
  <si>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</si>
  <si>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</si>
  <si>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</si>
  <si>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</si>
  <si>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</si>
  <si>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</si>
  <si>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</si>
  <si>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</si>
  <si>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</si>
  <si>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</si>
  <si>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</si>
  <si>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</si>
  <si>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</si>
  <si>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</si>
  <si>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</si>
  <si>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</si>
  <si>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</si>
  <si>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</si>
  <si>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</si>
  <si>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</si>
  <si>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</si>
  <si>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</si>
  <si>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</si>
  <si>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</si>
  <si>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</si>
  <si>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</si>
  <si>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</si>
  <si>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</si>
  <si>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</si>
  <si>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</si>
  <si>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</si>
  <si>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</si>
  <si>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</si>
  <si>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</si>
  <si>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</si>
  <si>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</si>
  <si>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</si>
  <si>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</si>
  <si>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</si>
  <si>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</si>
  <si>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</si>
  <si>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</si>
  <si>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</si>
  <si>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</si>
  <si>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</si>
  <si>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</si>
  <si>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</si>
  <si>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</si>
  <si>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</si>
  <si>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</si>
  <si>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</si>
  <si>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</si>
  <si>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</si>
  <si>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</si>
  <si>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</si>
  <si>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</si>
  <si>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</si>
  <si>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</si>
  <si>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</si>
  <si>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</si>
  <si>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</si>
  <si>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</si>
  <si>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</si>
  <si>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</si>
  <si>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</si>
  <si>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</si>
  <si>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</si>
  <si>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</si>
  <si>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</si>
  <si>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</si>
  <si>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</si>
  <si>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</si>
  <si>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</si>
  <si>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</si>
  <si>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</si>
  <si>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</si>
  <si>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</si>
  <si>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</si>
  <si>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</si>
  <si>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</si>
  <si>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</si>
  <si>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</si>
  <si>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</si>
  <si>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</si>
  <si>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</si>
  <si>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</si>
  <si>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</si>
  <si>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</si>
  <si>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</si>
  <si>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</si>
  <si>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</si>
  <si>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</si>
  <si>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</si>
  <si>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</si>
  <si>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</si>
  <si>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</si>
  <si>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</si>
  <si>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</si>
  <si>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</si>
  <si>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</si>
  <si>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</si>
  <si>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</si>
  <si>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</si>
  <si>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</si>
  <si>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</si>
  <si>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</si>
  <si>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</si>
  <si>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</si>
  <si>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</si>
  <si>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</si>
  <si>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</si>
  <si>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</si>
  <si>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</si>
  <si>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</si>
  <si>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</si>
  <si>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</si>
  <si>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</si>
  <si>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</si>
  <si>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</si>
  <si>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</si>
  <si>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</si>
  <si>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</si>
  <si>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</si>
  <si>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</si>
  <si>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</si>
  <si>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</si>
  <si>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</si>
  <si>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</si>
  <si>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</si>
  <si>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</si>
  <si>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</si>
  <si>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</si>
  <si>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</si>
  <si>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</si>
  <si>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</si>
  <si>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</si>
  <si>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</si>
  <si>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</si>
  <si>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</si>
  <si>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</si>
  <si>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</si>
  <si>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</si>
  <si>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</si>
  <si>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</si>
  <si>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</si>
  <si>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</si>
  <si>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</si>
  <si>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</si>
  <si>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</si>
  <si>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</si>
  <si>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</si>
  <si>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</si>
  <si>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</si>
  <si>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</si>
  <si>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</si>
  <si>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</si>
  <si>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</si>
  <si>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</si>
  <si>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</si>
  <si>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</si>
  <si>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</si>
  <si>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</si>
  <si>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</si>
  <si>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</si>
  <si>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</si>
  <si>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</si>
  <si>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</si>
  <si>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</si>
  <si>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</si>
  <si>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</si>
  <si>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</si>
  <si>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</si>
  <si>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</si>
  <si>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</si>
  <si>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</si>
  <si>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</si>
  <si>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</si>
  <si>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</si>
  <si>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</si>
  <si>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</si>
  <si>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</si>
  <si>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</si>
  <si>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</si>
  <si>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</si>
  <si>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</si>
  <si>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</si>
  <si>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</si>
  <si>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</si>
  <si>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</si>
  <si>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</si>
  <si>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</si>
  <si>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</si>
  <si>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</si>
  <si>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</si>
  <si>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</si>
  <si>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</si>
  <si>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</si>
  <si>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</si>
  <si>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</si>
  <si>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</si>
  <si>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</si>
  <si>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</si>
  <si>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</si>
  <si>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</si>
  <si>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</si>
  <si>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</si>
  <si>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</si>
  <si>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</si>
  <si>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</si>
  <si>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</si>
  <si>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</si>
  <si>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</si>
  <si>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</si>
  <si>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</si>
  <si>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</si>
  <si>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</si>
  <si>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</si>
  <si>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</si>
  <si>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</si>
  <si>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</si>
  <si>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</si>
  <si>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</si>
  <si>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</si>
  <si>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</si>
  <si>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</si>
  <si>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</si>
  <si>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</si>
  <si>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</si>
  <si>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</si>
  <si>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</si>
  <si>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</si>
  <si>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</si>
  <si>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</si>
  <si>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</si>
  <si>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</si>
  <si>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</si>
  <si>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</si>
  <si>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</si>
  <si>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</si>
  <si>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</si>
  <si>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</si>
  <si>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</si>
  <si>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</si>
  <si>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</si>
  <si>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</si>
  <si>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</si>
  <si>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</si>
  <si>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</si>
  <si>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</si>
  <si>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</si>
  <si>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</si>
  <si>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</si>
  <si>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</si>
  <si>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</si>
  <si>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</si>
  <si>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</si>
  <si>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</si>
  <si>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</si>
  <si>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</si>
  <si>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</si>
  <si>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</si>
  <si>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</si>
  <si>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</si>
  <si>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</si>
  <si>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</si>
  <si>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</si>
  <si>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</si>
  <si>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</si>
  <si>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</si>
  <si>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</si>
  <si>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</si>
  <si>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</si>
  <si>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</si>
  <si>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</si>
  <si>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</si>
  <si>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</si>
  <si>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</si>
  <si>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</si>
  <si>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</si>
  <si>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</si>
  <si>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</si>
  <si>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</si>
  <si>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</si>
  <si>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</si>
  <si>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</si>
  <si>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</si>
  <si>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</si>
  <si>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</si>
  <si>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</si>
  <si>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</si>
  <si>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</si>
  <si>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</si>
  <si>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</si>
  <si>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</si>
  <si>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</si>
  <si>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</si>
  <si>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</si>
  <si>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</si>
  <si>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</si>
  <si>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</si>
  <si>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</si>
  <si>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</si>
  <si>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</si>
  <si>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</si>
  <si>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</si>
  <si>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</si>
  <si>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</si>
  <si>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</si>
  <si>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</si>
  <si>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</si>
  <si>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</si>
  <si>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</si>
  <si>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</si>
  <si>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</si>
  <si>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</si>
  <si>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</si>
  <si>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</si>
  <si>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</si>
  <si>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</si>
  <si>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</si>
  <si>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</si>
  <si>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</si>
  <si>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</si>
  <si>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</si>
  <si>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</si>
  <si>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</si>
  <si>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</si>
  <si>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</si>
  <si>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</si>
  <si>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</si>
  <si>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</si>
  <si>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</si>
  <si>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</si>
  <si>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</si>
  <si>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</si>
  <si>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</si>
  <si>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</si>
  <si>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</si>
  <si>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</si>
  <si>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</si>
  <si>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</si>
  <si>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</si>
  <si>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</si>
  <si>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</si>
  <si>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</si>
  <si>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</si>
  <si>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</si>
  <si>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</si>
  <si>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</si>
  <si>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</si>
  <si>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</si>
  <si>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</si>
  <si>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</si>
  <si>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</si>
  <si>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</si>
  <si>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</si>
  <si>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</si>
  <si>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</si>
  <si>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</si>
  <si>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</si>
  <si>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</si>
  <si>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</si>
  <si>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</si>
  <si>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</si>
  <si>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</si>
  <si>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</si>
  <si>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</si>
  <si>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</si>
  <si>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</si>
  <si>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</si>
  <si>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</si>
  <si>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</si>
  <si>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</si>
  <si>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</si>
  <si>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</si>
  <si>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</si>
  <si>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</si>
  <si>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</si>
  <si>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</si>
  <si>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</si>
  <si>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</si>
  <si>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</si>
  <si>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</si>
  <si>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</si>
  <si>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</si>
  <si>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</si>
  <si>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</si>
  <si>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</si>
  <si>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</si>
  <si>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</si>
  <si>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</si>
  <si>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</si>
  <si>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</si>
  <si>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</si>
  <si>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</si>
  <si>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</si>
  <si>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</si>
  <si>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</si>
  <si>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</si>
  <si>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</si>
  <si>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</si>
  <si>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</si>
  <si>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</si>
  <si>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</si>
  <si>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</si>
  <si>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</si>
  <si>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</si>
  <si>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</si>
  <si>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</si>
  <si>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</si>
  <si>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</si>
  <si>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</si>
  <si>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</si>
  <si>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</si>
  <si>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</si>
  <si>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</si>
  <si>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</si>
  <si>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</si>
  <si>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</si>
  <si>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</si>
  <si>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</si>
  <si>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</si>
  <si>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</si>
  <si>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</si>
  <si>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</si>
  <si>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</si>
  <si>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</si>
  <si>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</si>
  <si>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</si>
  <si>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</si>
  <si>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</si>
  <si>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</si>
  <si>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</si>
  <si>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</si>
  <si>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</si>
  <si>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</si>
  <si>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</si>
  <si>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</si>
  <si>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</si>
  <si>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</si>
  <si>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</si>
  <si>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</si>
  <si>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</si>
  <si>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</si>
  <si>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</si>
  <si>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</si>
  <si>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</si>
  <si>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</si>
  <si>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</si>
  <si>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</si>
  <si>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</si>
  <si>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</si>
  <si>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</si>
  <si>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</si>
  <si>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</si>
  <si>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</si>
  <si>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</si>
  <si>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</si>
  <si>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</si>
  <si>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</si>
  <si>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</si>
  <si>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</si>
  <si>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</si>
  <si>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</si>
  <si>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</si>
  <si>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</si>
  <si>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</si>
  <si>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</si>
  <si>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</si>
  <si>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</si>
  <si>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</si>
  <si>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</si>
  <si>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</si>
  <si>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</si>
  <si>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</si>
  <si>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</si>
  <si>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</si>
  <si>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</si>
  <si>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</si>
  <si>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</si>
  <si>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</si>
  <si>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</si>
  <si>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</si>
  <si>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</si>
  <si>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</si>
  <si>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</si>
  <si>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</si>
  <si>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</si>
  <si>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</si>
  <si>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</si>
  <si>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</si>
  <si>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</si>
  <si>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</si>
  <si>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</si>
  <si>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</si>
  <si>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</si>
  <si>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</si>
  <si>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</si>
  <si>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</si>
  <si>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</si>
  <si>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</si>
  <si>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</si>
  <si>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</si>
  <si>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</si>
  <si>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</si>
  <si>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</si>
  <si>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</si>
  <si>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</si>
  <si>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</si>
  <si>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</si>
  <si>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</si>
  <si>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</si>
  <si>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</si>
  <si>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</si>
  <si>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</si>
  <si>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</si>
  <si>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</si>
  <si>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</si>
  <si>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</si>
  <si>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</si>
  <si>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</si>
  <si>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</si>
  <si>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</si>
  <si>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</si>
  <si>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</si>
  <si>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</si>
  <si>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</si>
  <si>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</si>
  <si>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</si>
  <si>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</si>
  <si>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</si>
  <si>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</si>
  <si>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</si>
  <si>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</si>
  <si>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</si>
  <si>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</si>
  <si>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</si>
  <si>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</si>
  <si>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</si>
  <si>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</si>
  <si>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</si>
  <si>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</si>
  <si>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34003</t>
  </si>
  <si>
    <t>AVELGEM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</si>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</sst>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75319.581594632269</c:v>
                </c:pt>
                <c:pt idx="1">
                  <c:v>27261.374216883352</c:v>
                </c:pt>
                <c:pt idx="2">
                  <c:v>631.46400000000006</c:v>
                </c:pt>
                <c:pt idx="3">
                  <c:v>3131.9752095442936</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75319.581594632269</c:v>
                </c:pt>
                <c:pt idx="1">
                  <c:v>27261.374216883352</c:v>
                </c:pt>
                <c:pt idx="2">
                  <c:v>631.46400000000006</c:v>
                </c:pt>
                <c:pt idx="3">
                  <c:v>3131.9752095442936</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15184.721270112972</c:v>
                </c:pt>
                <c:pt idx="1">
                  <c:v>5370.616979851101</c:v>
                </c:pt>
                <c:pt idx="2">
                  <c:v>122.19549372586118</c:v>
                </c:pt>
                <c:pt idx="3">
                  <c:v>755.29410142296786</c:v>
                </c:pt>
                <c:pt idx="4">
                  <c:v>31961.49940746748</c:v>
                </c:pt>
                <c:pt idx="5">
                  <c:v>8762.762555186644</c:v>
                </c:pt>
                <c:pt idx="6">
                  <c:v>267.78171659742054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15184.721270112972</c:v>
                </c:pt>
                <c:pt idx="1">
                  <c:v>5370.616979851101</c:v>
                </c:pt>
                <c:pt idx="2">
                  <c:v>122.19549372586118</c:v>
                </c:pt>
                <c:pt idx="3">
                  <c:v>755.29410142296786</c:v>
                </c:pt>
                <c:pt idx="4">
                  <c:v>31961.49940746748</c:v>
                </c:pt>
                <c:pt idx="5">
                  <c:v>8762.762555186644</c:v>
                </c:pt>
                <c:pt idx="6">
                  <c:v>267.78171659742054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4175</v>
      </c>
      <c r="C9" s="342">
        <v>4415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1334.49</v>
      </c>
    </row>
    <row r="15" spans="1:6">
      <c r="A15" s="348" t="s">
        <v>184</v>
      </c>
      <c r="B15" s="334">
        <v>15</v>
      </c>
    </row>
    <row r="16" spans="1:6">
      <c r="A16" s="348" t="s">
        <v>6</v>
      </c>
      <c r="B16" s="334">
        <v>297</v>
      </c>
    </row>
    <row r="17" spans="1:6">
      <c r="A17" s="348" t="s">
        <v>7</v>
      </c>
      <c r="B17" s="334">
        <v>731</v>
      </c>
    </row>
    <row r="18" spans="1:6">
      <c r="A18" s="348" t="s">
        <v>8</v>
      </c>
      <c r="B18" s="334">
        <v>861</v>
      </c>
    </row>
    <row r="19" spans="1:6">
      <c r="A19" s="348" t="s">
        <v>9</v>
      </c>
      <c r="B19" s="334">
        <v>833</v>
      </c>
    </row>
    <row r="20" spans="1:6">
      <c r="A20" s="348" t="s">
        <v>10</v>
      </c>
      <c r="B20" s="334">
        <v>572</v>
      </c>
    </row>
    <row r="21" spans="1:6">
      <c r="A21" s="348" t="s">
        <v>11</v>
      </c>
      <c r="B21" s="334">
        <v>626</v>
      </c>
    </row>
    <row r="22" spans="1:6">
      <c r="A22" s="348" t="s">
        <v>12</v>
      </c>
      <c r="B22" s="334">
        <v>3497</v>
      </c>
    </row>
    <row r="23" spans="1:6">
      <c r="A23" s="348" t="s">
        <v>13</v>
      </c>
      <c r="B23" s="334">
        <v>20</v>
      </c>
    </row>
    <row r="24" spans="1:6">
      <c r="A24" s="348" t="s">
        <v>14</v>
      </c>
      <c r="B24" s="334">
        <v>2</v>
      </c>
    </row>
    <row r="25" spans="1:6">
      <c r="A25" s="348" t="s">
        <v>15</v>
      </c>
      <c r="B25" s="334">
        <v>170</v>
      </c>
    </row>
    <row r="26" spans="1:6">
      <c r="A26" s="348" t="s">
        <v>16</v>
      </c>
      <c r="B26" s="334">
        <v>91</v>
      </c>
    </row>
    <row r="27" spans="1:6">
      <c r="A27" s="348" t="s">
        <v>17</v>
      </c>
      <c r="B27" s="334">
        <v>6</v>
      </c>
    </row>
    <row r="28" spans="1:6" s="356" customFormat="1">
      <c r="A28" s="355" t="s">
        <v>18</v>
      </c>
      <c r="B28" s="355">
        <v>1</v>
      </c>
    </row>
    <row r="29" spans="1:6">
      <c r="A29" s="355" t="s">
        <v>812</v>
      </c>
      <c r="B29" s="355">
        <v>61</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14147.529426999999</v>
      </c>
      <c r="E38" s="334">
        <v>1</v>
      </c>
      <c r="F38" s="334">
        <v>3331.0243876999998</v>
      </c>
    </row>
    <row r="39" spans="1:6">
      <c r="A39" s="348" t="s">
        <v>30</v>
      </c>
      <c r="B39" s="348" t="s">
        <v>31</v>
      </c>
      <c r="C39" s="334">
        <v>1897</v>
      </c>
      <c r="D39" s="334">
        <v>26429452.675000001</v>
      </c>
      <c r="E39" s="334">
        <v>4074</v>
      </c>
      <c r="F39" s="334">
        <v>17940898.785999998</v>
      </c>
    </row>
    <row r="40" spans="1:6">
      <c r="A40" s="348" t="s">
        <v>30</v>
      </c>
      <c r="B40" s="348" t="s">
        <v>29</v>
      </c>
      <c r="C40" s="334">
        <v>0</v>
      </c>
      <c r="D40" s="334">
        <v>0</v>
      </c>
      <c r="E40" s="334">
        <v>0</v>
      </c>
      <c r="F40" s="334">
        <v>0</v>
      </c>
    </row>
    <row r="41" spans="1:6">
      <c r="A41" s="348" t="s">
        <v>32</v>
      </c>
      <c r="B41" s="348" t="s">
        <v>33</v>
      </c>
      <c r="C41" s="334">
        <v>36</v>
      </c>
      <c r="D41" s="334">
        <v>520898.91269999999</v>
      </c>
      <c r="E41" s="334">
        <v>95</v>
      </c>
      <c r="F41" s="334">
        <v>908180.37334000005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55190.834798999997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80387760.497999996</v>
      </c>
      <c r="E48" s="334">
        <v>55</v>
      </c>
      <c r="F48" s="334">
        <v>9117230.1513999999</v>
      </c>
    </row>
    <row r="49" spans="1:6">
      <c r="A49" s="348" t="s">
        <v>32</v>
      </c>
      <c r="B49" s="348" t="s">
        <v>40</v>
      </c>
      <c r="C49" s="334">
        <v>3</v>
      </c>
      <c r="D49" s="334">
        <v>55470.589402999998</v>
      </c>
      <c r="E49" s="334">
        <v>4</v>
      </c>
      <c r="F49" s="334">
        <v>68654668.317000002</v>
      </c>
    </row>
    <row r="50" spans="1:6">
      <c r="A50" s="348" t="s">
        <v>32</v>
      </c>
      <c r="B50" s="348" t="s">
        <v>41</v>
      </c>
      <c r="C50" s="334">
        <v>0</v>
      </c>
      <c r="D50" s="334">
        <v>0</v>
      </c>
      <c r="E50" s="334">
        <v>5</v>
      </c>
      <c r="F50" s="334">
        <v>82494.628488999995</v>
      </c>
    </row>
    <row r="51" spans="1:6">
      <c r="A51" s="348" t="s">
        <v>42</v>
      </c>
      <c r="B51" s="348" t="s">
        <v>43</v>
      </c>
      <c r="C51" s="334">
        <v>0</v>
      </c>
      <c r="D51" s="334">
        <v>0</v>
      </c>
      <c r="E51" s="334">
        <v>37</v>
      </c>
      <c r="F51" s="334">
        <v>414095.94530000002</v>
      </c>
    </row>
    <row r="52" spans="1:6">
      <c r="A52" s="348" t="s">
        <v>42</v>
      </c>
      <c r="B52" s="348" t="s">
        <v>29</v>
      </c>
      <c r="C52" s="334">
        <v>3</v>
      </c>
      <c r="D52" s="334">
        <v>28796.251912</v>
      </c>
      <c r="E52" s="334">
        <v>10</v>
      </c>
      <c r="F52" s="334">
        <v>73274.906782999999</v>
      </c>
    </row>
    <row r="53" spans="1:6">
      <c r="A53" s="348" t="s">
        <v>44</v>
      </c>
      <c r="B53" s="348" t="s">
        <v>45</v>
      </c>
      <c r="C53" s="334">
        <v>49</v>
      </c>
      <c r="D53" s="334">
        <v>836436.76459000004</v>
      </c>
      <c r="E53" s="334">
        <v>148</v>
      </c>
      <c r="F53" s="334">
        <v>563010.57851000002</v>
      </c>
    </row>
    <row r="54" spans="1:6">
      <c r="A54" s="348" t="s">
        <v>46</v>
      </c>
      <c r="B54" s="348" t="s">
        <v>47</v>
      </c>
      <c r="C54" s="334">
        <v>0</v>
      </c>
      <c r="D54" s="334">
        <v>0</v>
      </c>
      <c r="E54" s="334">
        <v>1</v>
      </c>
      <c r="F54" s="334">
        <v>631464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1483553.1727</v>
      </c>
      <c r="E57" s="334">
        <v>33</v>
      </c>
      <c r="F57" s="334">
        <v>808142.63911999995</v>
      </c>
    </row>
    <row r="58" spans="1:6">
      <c r="A58" s="348" t="s">
        <v>49</v>
      </c>
      <c r="B58" s="348" t="s">
        <v>51</v>
      </c>
      <c r="C58" s="334">
        <v>10</v>
      </c>
      <c r="D58" s="334">
        <v>402282.60129999998</v>
      </c>
      <c r="E58" s="334">
        <v>24</v>
      </c>
      <c r="F58" s="334">
        <v>378906.87375999999</v>
      </c>
    </row>
    <row r="59" spans="1:6">
      <c r="A59" s="348" t="s">
        <v>49</v>
      </c>
      <c r="B59" s="348" t="s">
        <v>52</v>
      </c>
      <c r="C59" s="334">
        <v>19</v>
      </c>
      <c r="D59" s="334">
        <v>534747.28087000002</v>
      </c>
      <c r="E59" s="334">
        <v>82</v>
      </c>
      <c r="F59" s="334">
        <v>3246783.8061000002</v>
      </c>
    </row>
    <row r="60" spans="1:6">
      <c r="A60" s="348" t="s">
        <v>49</v>
      </c>
      <c r="B60" s="348" t="s">
        <v>53</v>
      </c>
      <c r="C60" s="334">
        <v>13</v>
      </c>
      <c r="D60" s="334">
        <v>410905.51632</v>
      </c>
      <c r="E60" s="334">
        <v>47</v>
      </c>
      <c r="F60" s="334">
        <v>911979.77673000004</v>
      </c>
    </row>
    <row r="61" spans="1:6">
      <c r="A61" s="348" t="s">
        <v>49</v>
      </c>
      <c r="B61" s="348" t="s">
        <v>54</v>
      </c>
      <c r="C61" s="334">
        <v>32</v>
      </c>
      <c r="D61" s="334">
        <v>1679367.1799000001</v>
      </c>
      <c r="E61" s="334">
        <v>143</v>
      </c>
      <c r="F61" s="334">
        <v>1604650.3901</v>
      </c>
    </row>
    <row r="62" spans="1:6">
      <c r="A62" s="348" t="s">
        <v>49</v>
      </c>
      <c r="B62" s="348" t="s">
        <v>55</v>
      </c>
      <c r="C62" s="334">
        <v>0</v>
      </c>
      <c r="D62" s="334">
        <v>0</v>
      </c>
      <c r="E62" s="334">
        <v>0</v>
      </c>
      <c r="F62" s="334">
        <v>0</v>
      </c>
    </row>
    <row r="63" spans="1:6">
      <c r="A63" s="348" t="s">
        <v>49</v>
      </c>
      <c r="B63" s="348" t="s">
        <v>29</v>
      </c>
      <c r="C63" s="334">
        <v>104</v>
      </c>
      <c r="D63" s="334">
        <v>5359812.0983999996</v>
      </c>
      <c r="E63" s="334">
        <v>166</v>
      </c>
      <c r="F63" s="334">
        <v>6531469.4254999999</v>
      </c>
    </row>
    <row r="64" spans="1:6">
      <c r="A64" s="348" t="s">
        <v>56</v>
      </c>
      <c r="B64" s="348" t="s">
        <v>57</v>
      </c>
      <c r="C64" s="334">
        <v>0</v>
      </c>
      <c r="D64" s="334">
        <v>0</v>
      </c>
      <c r="E64" s="334">
        <v>0</v>
      </c>
      <c r="F64" s="334">
        <v>0</v>
      </c>
    </row>
    <row r="65" spans="1:6">
      <c r="A65" s="348" t="s">
        <v>56</v>
      </c>
      <c r="B65" s="348" t="s">
        <v>29</v>
      </c>
      <c r="C65" s="334">
        <v>1</v>
      </c>
      <c r="D65" s="334">
        <v>41192.852599999998</v>
      </c>
      <c r="E65" s="334">
        <v>8</v>
      </c>
      <c r="F65" s="334">
        <v>113256.97117999999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36931.853703000001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36977770</v>
      </c>
      <c r="E73" s="476">
        <v>32945286.304651953</v>
      </c>
    </row>
    <row r="74" spans="1:6">
      <c r="A74" s="348" t="s">
        <v>64</v>
      </c>
      <c r="B74" s="348" t="s">
        <v>667</v>
      </c>
      <c r="C74" s="1212" t="s">
        <v>669</v>
      </c>
      <c r="D74" s="476">
        <v>3386541.9662865992</v>
      </c>
      <c r="E74" s="476">
        <v>3212359.7573889843</v>
      </c>
    </row>
    <row r="75" spans="1:6">
      <c r="A75" s="348" t="s">
        <v>65</v>
      </c>
      <c r="B75" s="348" t="s">
        <v>666</v>
      </c>
      <c r="C75" s="1212" t="s">
        <v>670</v>
      </c>
      <c r="D75" s="476">
        <v>3242395</v>
      </c>
      <c r="E75" s="476">
        <v>2888099.3095140755</v>
      </c>
    </row>
    <row r="76" spans="1:6">
      <c r="A76" s="348" t="s">
        <v>65</v>
      </c>
      <c r="B76" s="348" t="s">
        <v>667</v>
      </c>
      <c r="C76" s="1212" t="s">
        <v>671</v>
      </c>
      <c r="D76" s="476">
        <v>130180.96628659923</v>
      </c>
      <c r="E76" s="476">
        <v>104612.86334935858</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277728.06742680154</v>
      </c>
      <c r="C83" s="476">
        <v>277728.06742680154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12169.807208050885</v>
      </c>
    </row>
    <row r="91" spans="1:6">
      <c r="A91" s="348" t="s">
        <v>68</v>
      </c>
      <c r="B91" s="334">
        <v>1705.1273149919625</v>
      </c>
    </row>
    <row r="92" spans="1:6">
      <c r="A92" s="341" t="s">
        <v>69</v>
      </c>
      <c r="B92" s="342">
        <v>189.51578277467851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30</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125</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113073.98317153995</v>
      </c>
      <c r="C3" s="43" t="s">
        <v>170</v>
      </c>
      <c r="D3" s="43"/>
      <c r="E3" s="154"/>
      <c r="F3" s="43"/>
      <c r="G3" s="43"/>
      <c r="H3" s="43"/>
      <c r="I3" s="43"/>
      <c r="J3" s="43"/>
      <c r="K3" s="96"/>
    </row>
    <row r="4" spans="1:11">
      <c r="A4" s="383" t="s">
        <v>171</v>
      </c>
      <c r="B4" s="49">
        <f>IF(ISERROR('SEAP template'!B69),0,'SEAP template'!B69)</f>
        <v>14064.450305817525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0.19351141747726106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631.46400000000006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631.46400000000006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0.19351141747726106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122.19549372586118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17940.898785999998</v>
      </c>
      <c r="C5" s="17">
        <f>IF(ISERROR('Eigen informatie GS &amp; warmtenet'!B57),0,'Eigen informatie GS &amp; warmtenet'!B57)</f>
        <v>0</v>
      </c>
      <c r="D5" s="30">
        <f>(SUM(HH_hh_gas_kWh,HH_rest_gas_kWh)/1000)*0.902</f>
        <v>23839.366312850001</v>
      </c>
      <c r="E5" s="17">
        <f>B46*B57</f>
        <v>2034.9986070321195</v>
      </c>
      <c r="F5" s="17">
        <f>B51*B62</f>
        <v>22867.019597463513</v>
      </c>
      <c r="G5" s="18"/>
      <c r="H5" s="17"/>
      <c r="I5" s="17"/>
      <c r="J5" s="17">
        <f>B50*B61+C50*C61</f>
        <v>0</v>
      </c>
      <c r="K5" s="17"/>
      <c r="L5" s="17"/>
      <c r="M5" s="17"/>
      <c r="N5" s="17">
        <f>B48*B59+C48*C59</f>
        <v>6550.1343096280061</v>
      </c>
      <c r="O5" s="17">
        <f>B69*B70*B71</f>
        <v>248.57000000000002</v>
      </c>
      <c r="P5" s="17">
        <f>B77*B78*B79/1000-B77*B78*B79/1000/B80</f>
        <v>133.46666666666667</v>
      </c>
    </row>
    <row r="6" spans="1:16">
      <c r="A6" s="16" t="s">
        <v>624</v>
      </c>
      <c r="B6" s="843">
        <f>kWh_PV_kleiner_dan_10kW</f>
        <v>1705.1273149919625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19646.02610099196</v>
      </c>
      <c r="C8" s="21">
        <f>C5</f>
        <v>0</v>
      </c>
      <c r="D8" s="21">
        <f>D5</f>
        <v>23839.366312850001</v>
      </c>
      <c r="E8" s="21">
        <f>E5</f>
        <v>2034.9986070321195</v>
      </c>
      <c r="F8" s="21">
        <f>F5</f>
        <v>22867.019597463513</v>
      </c>
      <c r="G8" s="21"/>
      <c r="H8" s="21"/>
      <c r="I8" s="21"/>
      <c r="J8" s="21">
        <f>J5</f>
        <v>0</v>
      </c>
      <c r="K8" s="21"/>
      <c r="L8" s="21">
        <f>L5</f>
        <v>0</v>
      </c>
      <c r="M8" s="21">
        <f>M5</f>
        <v>0</v>
      </c>
      <c r="N8" s="21">
        <f>N5</f>
        <v>6550.1343096280061</v>
      </c>
      <c r="O8" s="21">
        <f>O5</f>
        <v>248.57000000000002</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0.19351141747726106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3801.7303585982222</v>
      </c>
      <c r="C12" s="23">
        <f ca="1">C10*C8</f>
        <v>0</v>
      </c>
      <c r="D12" s="23">
        <f>D8*D10</f>
        <v>4815.5519951957003</v>
      </c>
      <c r="E12" s="23">
        <f>E10*E8</f>
        <v>461.94468379629114</v>
      </c>
      <c r="F12" s="23">
        <f>F10*F8</f>
        <v>6105.4942325227585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4175</v>
      </c>
      <c r="C28" s="36"/>
      <c r="D28" s="228"/>
    </row>
    <row r="29" spans="1:7" s="15" customFormat="1">
      <c r="A29" s="230" t="s">
        <v>699</v>
      </c>
      <c r="B29" s="37">
        <f>SUM(HH_hh_gas_aantal,HH_rest_gas_aantal)</f>
        <v>1897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1897</v>
      </c>
      <c r="C32" s="167">
        <f>IF(ISERROR(B32/SUM($B$32,$B$34,$B$35,$B$36,$B$38,$B$39)*100),0,B32/SUM($B$32,$B$34,$B$35,$B$36,$B$38,$B$39)*100)</f>
        <v>45.513435700575819</v>
      </c>
      <c r="D32" s="233"/>
      <c r="G32" s="15"/>
    </row>
    <row r="33" spans="1:7">
      <c r="A33" s="171" t="s">
        <v>72</v>
      </c>
      <c r="B33" s="34" t="s">
        <v>111</v>
      </c>
      <c r="C33" s="167"/>
      <c r="D33" s="233"/>
      <c r="G33" s="15"/>
    </row>
    <row r="34" spans="1:7">
      <c r="A34" s="171" t="s">
        <v>73</v>
      </c>
      <c r="B34" s="33">
        <f>IF((($B$28-$B$32-$B$39-$B$77-$B$38)*C20/100)&lt;0,0,($B$28-$B$32-$B$39-$B$77-$B$38)*C20/100)</f>
        <v>89.972972972972983</v>
      </c>
      <c r="C34" s="167">
        <f>IF(ISERROR(B34/SUM($B$32,$B$34,$B$35,$B$36,$B$38,$B$39)*100),0,B34/SUM($B$32,$B$34,$B$35,$B$36,$B$38,$B$39)*100)</f>
        <v>2.1586605799657628</v>
      </c>
      <c r="D34" s="233"/>
      <c r="G34" s="15"/>
    </row>
    <row r="35" spans="1:7">
      <c r="A35" s="171" t="s">
        <v>74</v>
      </c>
      <c r="B35" s="33">
        <f>IF((($B$28-$B$32-$B$39-$B$77-$B$38)*C21/100)&lt;0,0,($B$28-$B$32-$B$39-$B$77-$B$38)*C21/100)</f>
        <v>1139.6576576576579</v>
      </c>
      <c r="C35" s="167">
        <f>IF(ISERROR(B35/SUM($B$32,$B$34,$B$35,$B$36,$B$38,$B$39)*100),0,B35/SUM($B$32,$B$34,$B$35,$B$36,$B$38,$B$39)*100)</f>
        <v>27.343034012899658</v>
      </c>
      <c r="D35" s="233"/>
      <c r="G35" s="15"/>
    </row>
    <row r="36" spans="1:7">
      <c r="A36" s="171" t="s">
        <v>75</v>
      </c>
      <c r="B36" s="33">
        <f>IF((($B$28-$B$32-$B$39-$B$77-$B$38)*C22/100)&lt;0,0,($B$28-$B$32-$B$39-$B$77-$B$38)*C22/100)</f>
        <v>101.96936936936936</v>
      </c>
      <c r="C36" s="167">
        <f>IF(ISERROR(B36/SUM($B$32,$B$34,$B$35,$B$36,$B$38,$B$39)*100),0,B36/SUM($B$32,$B$34,$B$35,$B$36,$B$38,$B$39)*100)</f>
        <v>2.4464819906278636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939.39999999999986</v>
      </c>
      <c r="C39" s="167">
        <f>IF(ISERROR(B39/SUM($B$32,$B$34,$B$35,$B$36,$B$38,$B$39)*100),0,B39/SUM($B$32,$B$34,$B$35,$B$36,$B$38,$B$39)*100)</f>
        <v>22.538387715930899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1897</v>
      </c>
      <c r="C44" s="34" t="s">
        <v>111</v>
      </c>
      <c r="D44" s="174"/>
    </row>
    <row r="45" spans="1:7">
      <c r="A45" s="171" t="s">
        <v>72</v>
      </c>
      <c r="B45" s="33" t="str">
        <f t="shared" si="0"/>
        <v>-</v>
      </c>
      <c r="C45" s="34" t="s">
        <v>111</v>
      </c>
      <c r="D45" s="174"/>
    </row>
    <row r="46" spans="1:7">
      <c r="A46" s="171" t="s">
        <v>73</v>
      </c>
      <c r="B46" s="33">
        <f t="shared" si="0"/>
        <v>89.972972972972983</v>
      </c>
      <c r="C46" s="34" t="s">
        <v>111</v>
      </c>
      <c r="D46" s="174"/>
    </row>
    <row r="47" spans="1:7">
      <c r="A47" s="171" t="s">
        <v>74</v>
      </c>
      <c r="B47" s="33">
        <f t="shared" si="0"/>
        <v>1139.6576576576579</v>
      </c>
      <c r="C47" s="34" t="s">
        <v>111</v>
      </c>
      <c r="D47" s="174"/>
    </row>
    <row r="48" spans="1:7">
      <c r="A48" s="171" t="s">
        <v>75</v>
      </c>
      <c r="B48" s="33">
        <f t="shared" si="0"/>
        <v>101.96936936936936</v>
      </c>
      <c r="C48" s="33">
        <f>B48*10</f>
        <v>1019.6936936936936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939.39999999999986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13481.932911309999</v>
      </c>
      <c r="C5" s="17">
        <f>IF(ISERROR('Eigen informatie GS &amp; warmtenet'!B58),0,'Eigen informatie GS &amp; warmtenet'!B58)</f>
        <v>0</v>
      </c>
      <c r="D5" s="30">
        <f>SUM(D6:D12)</f>
        <v>8903.3424002399806</v>
      </c>
      <c r="E5" s="17">
        <f>SUM(E6:E12)</f>
        <v>269.92145123372831</v>
      </c>
      <c r="F5" s="17">
        <f>SUM(F6:F12)</f>
        <v>3378.1336987701629</v>
      </c>
      <c r="G5" s="18"/>
      <c r="H5" s="17"/>
      <c r="I5" s="17"/>
      <c r="J5" s="17">
        <f>SUM(J6:J12)</f>
        <v>0</v>
      </c>
      <c r="K5" s="17"/>
      <c r="L5" s="17"/>
      <c r="M5" s="17"/>
      <c r="N5" s="17">
        <f>SUM(N6:N12)</f>
        <v>1223.3537553294855</v>
      </c>
      <c r="O5" s="17">
        <f>B38*B39*B40</f>
        <v>4.6900000000000004</v>
      </c>
      <c r="P5" s="17">
        <f>B46*B47*B48/1000-B46*B47*B48/1000/B49</f>
        <v>0</v>
      </c>
      <c r="R5" s="32"/>
    </row>
    <row r="6" spans="1:18">
      <c r="A6" s="32" t="s">
        <v>54</v>
      </c>
      <c r="B6" s="37">
        <f>B26</f>
        <v>1604.6503900999999</v>
      </c>
      <c r="C6" s="33"/>
      <c r="D6" s="37">
        <f>IF(ISERROR(TER_kantoor_gas_kWh/1000),0,TER_kantoor_gas_kWh/1000)*0.902</f>
        <v>1514.7891962698002</v>
      </c>
      <c r="E6" s="33">
        <f>$C$26*'E Balans VL '!I12/100/3.6*1000000</f>
        <v>21.00685024906846</v>
      </c>
      <c r="F6" s="33">
        <f>$C$26*('E Balans VL '!L12+'E Balans VL '!N12)/100/3.6*1000000</f>
        <v>409.16926763778156</v>
      </c>
      <c r="G6" s="34"/>
      <c r="H6" s="33"/>
      <c r="I6" s="33"/>
      <c r="J6" s="33">
        <f>$C$26*('E Balans VL '!D12+'E Balans VL '!E12)/100/3.6*1000000</f>
        <v>0</v>
      </c>
      <c r="K6" s="33"/>
      <c r="L6" s="33"/>
      <c r="M6" s="33"/>
      <c r="N6" s="33">
        <f>$C$26*'E Balans VL '!Y12/100/3.6*1000000</f>
        <v>1.6100539643390785</v>
      </c>
      <c r="O6" s="33"/>
      <c r="P6" s="33"/>
      <c r="R6" s="32"/>
    </row>
    <row r="7" spans="1:18">
      <c r="A7" s="32" t="s">
        <v>53</v>
      </c>
      <c r="B7" s="37">
        <f t="shared" ref="B7:B12" si="0">B27</f>
        <v>911.97977673000003</v>
      </c>
      <c r="C7" s="33"/>
      <c r="D7" s="37">
        <f>IF(ISERROR(TER_horeca_gas_kWh/1000),0,TER_horeca_gas_kWh/1000)*0.902</f>
        <v>370.63677572064</v>
      </c>
      <c r="E7" s="33">
        <f>$C$27*'E Balans VL '!I9/100/3.6*1000000</f>
        <v>30.180983222873461</v>
      </c>
      <c r="F7" s="33">
        <f>$C$27*('E Balans VL '!L9+'E Balans VL '!N9)/100/3.6*1000000</f>
        <v>392.14780886403656</v>
      </c>
      <c r="G7" s="34"/>
      <c r="H7" s="33"/>
      <c r="I7" s="33"/>
      <c r="J7" s="33">
        <f>$C$27*('E Balans VL '!D9+'E Balans VL '!E9)/100/3.6*1000000</f>
        <v>0</v>
      </c>
      <c r="K7" s="33"/>
      <c r="L7" s="33"/>
      <c r="M7" s="33"/>
      <c r="N7" s="33">
        <f>$C$27*'E Balans VL '!Y9/100/3.6*1000000</f>
        <v>0.21952677565861142</v>
      </c>
      <c r="O7" s="33"/>
      <c r="P7" s="33"/>
      <c r="R7" s="32"/>
    </row>
    <row r="8" spans="1:18">
      <c r="A8" s="6" t="s">
        <v>52</v>
      </c>
      <c r="B8" s="37">
        <f t="shared" si="0"/>
        <v>3246.7838061000002</v>
      </c>
      <c r="C8" s="33"/>
      <c r="D8" s="37">
        <f>IF(ISERROR(TER_handel_gas_kWh/1000),0,TER_handel_gas_kWh/1000)*0.902</f>
        <v>482.34204734474008</v>
      </c>
      <c r="E8" s="33">
        <f>$C$28*'E Balans VL '!I13/100/3.6*1000000</f>
        <v>102.47345785850153</v>
      </c>
      <c r="F8" s="33">
        <f>$C$28*('E Balans VL '!L13+'E Balans VL '!N13)/100/3.6*1000000</f>
        <v>636.75147668946352</v>
      </c>
      <c r="G8" s="34"/>
      <c r="H8" s="33"/>
      <c r="I8" s="33"/>
      <c r="J8" s="33">
        <f>$C$28*('E Balans VL '!D13+'E Balans VL '!E13)/100/3.6*1000000</f>
        <v>0</v>
      </c>
      <c r="K8" s="33"/>
      <c r="L8" s="33"/>
      <c r="M8" s="33"/>
      <c r="N8" s="33">
        <f>$C$28*'E Balans VL '!Y13/100/3.6*1000000</f>
        <v>3.8533020225032817</v>
      </c>
      <c r="O8" s="33"/>
      <c r="P8" s="33"/>
      <c r="R8" s="32"/>
    </row>
    <row r="9" spans="1:18">
      <c r="A9" s="32" t="s">
        <v>51</v>
      </c>
      <c r="B9" s="37">
        <f t="shared" si="0"/>
        <v>378.90687376</v>
      </c>
      <c r="C9" s="33"/>
      <c r="D9" s="37">
        <f>IF(ISERROR(TER_gezond_gas_kWh/1000),0,TER_gezond_gas_kWh/1000)*0.902</f>
        <v>362.85890637259996</v>
      </c>
      <c r="E9" s="33">
        <f>$C$29*'E Balans VL '!I10/100/3.6*1000000</f>
        <v>4.8511164515923695E-2</v>
      </c>
      <c r="F9" s="33">
        <f>$C$29*('E Balans VL '!L10+'E Balans VL '!N10)/100/3.6*1000000</f>
        <v>78.942183246716382</v>
      </c>
      <c r="G9" s="34"/>
      <c r="H9" s="33"/>
      <c r="I9" s="33"/>
      <c r="J9" s="33">
        <f>$C$29*('E Balans VL '!D10+'E Balans VL '!E10)/100/3.6*1000000</f>
        <v>0</v>
      </c>
      <c r="K9" s="33"/>
      <c r="L9" s="33"/>
      <c r="M9" s="33"/>
      <c r="N9" s="33">
        <f>$C$29*'E Balans VL '!Y10/100/3.6*1000000</f>
        <v>4.4504403272446016</v>
      </c>
      <c r="O9" s="33"/>
      <c r="P9" s="33"/>
      <c r="R9" s="32"/>
    </row>
    <row r="10" spans="1:18">
      <c r="A10" s="32" t="s">
        <v>50</v>
      </c>
      <c r="B10" s="37">
        <f t="shared" si="0"/>
        <v>808.1426391199999</v>
      </c>
      <c r="C10" s="33"/>
      <c r="D10" s="37">
        <f>IF(ISERROR(TER_ander_gas_kWh/1000),0,TER_ander_gas_kWh/1000)*0.902</f>
        <v>1338.1649617754001</v>
      </c>
      <c r="E10" s="33">
        <f>$C$30*'E Balans VL '!I14/100/3.6*1000000</f>
        <v>1.2152564818976275</v>
      </c>
      <c r="F10" s="33">
        <f>$C$30*('E Balans VL '!L14+'E Balans VL '!N14)/100/3.6*1000000</f>
        <v>178.41184456541546</v>
      </c>
      <c r="G10" s="34"/>
      <c r="H10" s="33"/>
      <c r="I10" s="33"/>
      <c r="J10" s="33">
        <f>$C$30*('E Balans VL '!D14+'E Balans VL '!E14)/100/3.6*1000000</f>
        <v>0</v>
      </c>
      <c r="K10" s="33"/>
      <c r="L10" s="33"/>
      <c r="M10" s="33"/>
      <c r="N10" s="33">
        <f>$C$30*'E Balans VL '!Y14/100/3.6*1000000</f>
        <v>636.87078557561836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6531.4694254999995</v>
      </c>
      <c r="C12" s="33"/>
      <c r="D12" s="37">
        <f>IF(ISERROR(TER_rest_gas_kWh/1000),0,TER_rest_gas_kWh/1000)*0.902</f>
        <v>4834.5505127568003</v>
      </c>
      <c r="E12" s="33">
        <f>$C$32*'E Balans VL '!I8/100/3.6*1000000</f>
        <v>114.99639225687129</v>
      </c>
      <c r="F12" s="33">
        <f>$C$32*('E Balans VL '!L8+'E Balans VL '!N8)/100/3.6*1000000</f>
        <v>1682.7111177667493</v>
      </c>
      <c r="G12" s="34"/>
      <c r="H12" s="33"/>
      <c r="I12" s="33"/>
      <c r="J12" s="33">
        <f>$C$32*('E Balans VL '!D8+'E Balans VL '!E8)/100/3.6*1000000</f>
        <v>0</v>
      </c>
      <c r="K12" s="33"/>
      <c r="L12" s="33"/>
      <c r="M12" s="33"/>
      <c r="N12" s="33">
        <f>$C$32*'E Balans VL '!Y8/100/3.6*1000000</f>
        <v>576.34964666412168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13481.932911309999</v>
      </c>
      <c r="C16" s="21">
        <f t="shared" ca="1" si="1"/>
        <v>0</v>
      </c>
      <c r="D16" s="21">
        <f t="shared" ca="1" si="1"/>
        <v>8903.3424002399806</v>
      </c>
      <c r="E16" s="21">
        <f t="shared" si="1"/>
        <v>269.92145123372831</v>
      </c>
      <c r="F16" s="21">
        <f t="shared" ca="1" si="1"/>
        <v>3378.1336987701629</v>
      </c>
      <c r="G16" s="21">
        <f t="shared" si="1"/>
        <v>0</v>
      </c>
      <c r="H16" s="21">
        <f t="shared" si="1"/>
        <v>0</v>
      </c>
      <c r="I16" s="21">
        <f t="shared" si="1"/>
        <v>0</v>
      </c>
      <c r="J16" s="21">
        <f t="shared" si="1"/>
        <v>0</v>
      </c>
      <c r="K16" s="21">
        <f t="shared" si="1"/>
        <v>0</v>
      </c>
      <c r="L16" s="21">
        <f t="shared" ca="1" si="1"/>
        <v>0</v>
      </c>
      <c r="M16" s="21">
        <f t="shared" si="1"/>
        <v>0</v>
      </c>
      <c r="N16" s="21">
        <f t="shared" ca="1" si="1"/>
        <v>1223.3537553294855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0.19351141747726106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2608.907948000935</v>
      </c>
      <c r="C20" s="23">
        <f t="shared" ref="C20:P20" ca="1" si="2">C16*C18</f>
        <v>0</v>
      </c>
      <c r="D20" s="23">
        <f t="shared" ca="1" si="2"/>
        <v>1798.4751648484762</v>
      </c>
      <c r="E20" s="23">
        <f t="shared" si="2"/>
        <v>61.27216943005633</v>
      </c>
      <c r="F20" s="23">
        <f t="shared" ca="1" si="2"/>
        <v>901.96169757163352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1604.6503900999999</v>
      </c>
      <c r="C26" s="39">
        <f>IF(ISERROR(B26*3.6/1000000/'E Balans VL '!Z12*100),0,B26*3.6/1000000/'E Balans VL '!Z12*100)</f>
        <v>3.4372857960287877E-2</v>
      </c>
      <c r="D26" s="237" t="s">
        <v>660</v>
      </c>
      <c r="F26" s="6"/>
    </row>
    <row r="27" spans="1:18">
      <c r="A27" s="231" t="s">
        <v>53</v>
      </c>
      <c r="B27" s="33">
        <f>IF(ISERROR(TER_horeca_ele_kWh/1000),0,TER_horeca_ele_kWh/1000)</f>
        <v>911.97977673000003</v>
      </c>
      <c r="C27" s="39">
        <f>IF(ISERROR(B27*3.6/1000000/'E Balans VL '!Z9*100),0,B27*3.6/1000000/'E Balans VL '!Z9*100)</f>
        <v>7.318320707323539E-2</v>
      </c>
      <c r="D27" s="237" t="s">
        <v>660</v>
      </c>
      <c r="F27" s="6"/>
    </row>
    <row r="28" spans="1:18">
      <c r="A28" s="171" t="s">
        <v>52</v>
      </c>
      <c r="B28" s="33">
        <f>IF(ISERROR(TER_handel_ele_kWh/1000),0,TER_handel_ele_kWh/1000)</f>
        <v>3246.7838061000002</v>
      </c>
      <c r="C28" s="39">
        <f>IF(ISERROR(B28*3.6/1000000/'E Balans VL '!Z13*100),0,B28*3.6/1000000/'E Balans VL '!Z13*100)</f>
        <v>9.5761499470841727E-2</v>
      </c>
      <c r="D28" s="237" t="s">
        <v>660</v>
      </c>
      <c r="F28" s="6"/>
    </row>
    <row r="29" spans="1:18">
      <c r="A29" s="231" t="s">
        <v>51</v>
      </c>
      <c r="B29" s="33">
        <f>IF(ISERROR(TER_gezond_ele_kWh/1000),0,TER_gezond_ele_kWh/1000)</f>
        <v>378.90687376</v>
      </c>
      <c r="C29" s="39">
        <f>IF(ISERROR(B29*3.6/1000000/'E Balans VL '!Z10*100),0,B29*3.6/1000000/'E Balans VL '!Z10*100)</f>
        <v>4.0457095243327849E-2</v>
      </c>
      <c r="D29" s="237" t="s">
        <v>660</v>
      </c>
      <c r="F29" s="6"/>
    </row>
    <row r="30" spans="1:18">
      <c r="A30" s="231" t="s">
        <v>50</v>
      </c>
      <c r="B30" s="33">
        <f>IF(ISERROR(TER_ander_ele_kWh/1000),0,TER_ander_ele_kWh/1000)</f>
        <v>808.1426391199999</v>
      </c>
      <c r="C30" s="39">
        <f>IF(ISERROR(B30*3.6/1000000/'E Balans VL '!Z14*100),0,B30*3.6/1000000/'E Balans VL '!Z14*100)</f>
        <v>6.104218698087107E-2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6531.4694254999995</v>
      </c>
      <c r="C32" s="39">
        <f>IF(ISERROR(B32*3.6/1000000/'E Balans VL '!Z8*100),0,B32*3.6/1000000/'E Balans VL '!Z8*100)</f>
        <v>5.4154976542957541E-2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78817.764305028002</v>
      </c>
      <c r="C5" s="17">
        <f>IF(ISERROR('Eigen informatie GS &amp; warmtenet'!B59),0,'Eigen informatie GS &amp; warmtenet'!B59)</f>
        <v>0</v>
      </c>
      <c r="D5" s="30">
        <f>SUM(D6:D15)</f>
        <v>73029.645260092904</v>
      </c>
      <c r="E5" s="17">
        <f>SUM(E6:E15)</f>
        <v>919.12409917124262</v>
      </c>
      <c r="F5" s="17">
        <f>SUM(F6:F15)</f>
        <v>6451.5613864748902</v>
      </c>
      <c r="G5" s="18"/>
      <c r="H5" s="17"/>
      <c r="I5" s="17"/>
      <c r="J5" s="17">
        <f>SUM(J6:J15)</f>
        <v>73.914438342954355</v>
      </c>
      <c r="K5" s="17"/>
      <c r="L5" s="17"/>
      <c r="M5" s="17"/>
      <c r="N5" s="17">
        <f>SUM(N6:N15)</f>
        <v>2291.6230738623599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55.190834798999994</v>
      </c>
      <c r="C8" s="33"/>
      <c r="D8" s="37">
        <f>IF( ISERROR(IND_metaal_Gas_kWH/1000),0,IND_metaal_Gas_kWH/1000)*0.902</f>
        <v>0</v>
      </c>
      <c r="E8" s="33">
        <f>C30*'E Balans VL '!I18/100/3.6*1000000</f>
        <v>1.985933199661416</v>
      </c>
      <c r="F8" s="33">
        <f>C30*'E Balans VL '!L18/100/3.6*1000000+C30*'E Balans VL '!N18/100/3.6*1000000</f>
        <v>24.100048462347548</v>
      </c>
      <c r="G8" s="34"/>
      <c r="H8" s="33"/>
      <c r="I8" s="33"/>
      <c r="J8" s="40">
        <f>C30*'E Balans VL '!D18/100/3.6*1000000+C30*'E Balans VL '!E18/100/3.6*1000000</f>
        <v>0</v>
      </c>
      <c r="K8" s="33"/>
      <c r="L8" s="33"/>
      <c r="M8" s="33"/>
      <c r="N8" s="33">
        <f>C30*'E Balans VL '!Y18/100/3.6*1000000</f>
        <v>2.7661271339794973</v>
      </c>
      <c r="O8" s="33"/>
      <c r="P8" s="33"/>
      <c r="R8" s="32"/>
    </row>
    <row r="9" spans="1:18">
      <c r="A9" s="6" t="s">
        <v>33</v>
      </c>
      <c r="B9" s="37">
        <f t="shared" si="0"/>
        <v>908.18037334000007</v>
      </c>
      <c r="C9" s="33"/>
      <c r="D9" s="37">
        <f>IF( ISERROR(IND_andere_gas_kWh/1000),0,IND_andere_gas_kWh/1000)*0.902</f>
        <v>469.85081925539998</v>
      </c>
      <c r="E9" s="33">
        <f>C31*'E Balans VL '!I19/100/3.6*1000000</f>
        <v>231.74708311988874</v>
      </c>
      <c r="F9" s="33">
        <f>C31*'E Balans VL '!L19/100/3.6*1000000+C31*'E Balans VL '!N19/100/3.6*1000000</f>
        <v>781.87503995510133</v>
      </c>
      <c r="G9" s="34"/>
      <c r="H9" s="33"/>
      <c r="I9" s="33"/>
      <c r="J9" s="40">
        <f>C31*'E Balans VL '!D19/100/3.6*1000000+C31*'E Balans VL '!E19/100/3.6*1000000</f>
        <v>0</v>
      </c>
      <c r="K9" s="33"/>
      <c r="L9" s="33"/>
      <c r="M9" s="33"/>
      <c r="N9" s="33">
        <f>C31*'E Balans VL '!Y19/100/3.6*1000000</f>
        <v>284.01910467295744</v>
      </c>
      <c r="O9" s="33"/>
      <c r="P9" s="33"/>
      <c r="R9" s="32"/>
    </row>
    <row r="10" spans="1:18">
      <c r="A10" s="6" t="s">
        <v>41</v>
      </c>
      <c r="B10" s="37">
        <f t="shared" si="0"/>
        <v>82.494628488999993</v>
      </c>
      <c r="C10" s="33"/>
      <c r="D10" s="37">
        <f>IF( ISERROR(IND_voed_gas_kWh/1000),0,IND_voed_gas_kWh/1000)*0.902</f>
        <v>0</v>
      </c>
      <c r="E10" s="33">
        <f>C32*'E Balans VL '!I20/100/3.6*1000000</f>
        <v>2.0971267305979415</v>
      </c>
      <c r="F10" s="33">
        <f>C32*'E Balans VL '!L20/100/3.6*1000000+C32*'E Balans VL '!N20/100/3.6*1000000</f>
        <v>18.667296075891606</v>
      </c>
      <c r="G10" s="34"/>
      <c r="H10" s="33"/>
      <c r="I10" s="33"/>
      <c r="J10" s="40">
        <f>C32*'E Balans VL '!D20/100/3.6*1000000+C32*'E Balans VL '!E20/100/3.6*1000000</f>
        <v>0</v>
      </c>
      <c r="K10" s="33"/>
      <c r="L10" s="33"/>
      <c r="M10" s="33"/>
      <c r="N10" s="33">
        <f>C32*'E Balans VL '!Y20/100/3.6*1000000</f>
        <v>30.937721788234384</v>
      </c>
      <c r="O10" s="33"/>
      <c r="P10" s="33"/>
      <c r="R10" s="32"/>
    </row>
    <row r="11" spans="1:18">
      <c r="A11" s="6" t="s">
        <v>40</v>
      </c>
      <c r="B11" s="37">
        <f t="shared" si="0"/>
        <v>68654.668317000003</v>
      </c>
      <c r="C11" s="33"/>
      <c r="D11" s="37">
        <f>IF( ISERROR(IND_textiel_gas_kWh/1000),0,IND_textiel_gas_kWh/1000)*0.902</f>
        <v>50.034471641506002</v>
      </c>
      <c r="E11" s="33">
        <f>C33*'E Balans VL '!I21/100/3.6*1000000</f>
        <v>188.47552733924741</v>
      </c>
      <c r="F11" s="33">
        <f>C33*'E Balans VL '!L21/100/3.6*1000000+C33*'E Balans VL '!N21/100/3.6*1000000</f>
        <v>3639.7843932966607</v>
      </c>
      <c r="G11" s="34"/>
      <c r="H11" s="33"/>
      <c r="I11" s="33"/>
      <c r="J11" s="40">
        <f>C33*'E Balans VL '!D21/100/3.6*1000000+C33*'E Balans VL '!E21/100/3.6*1000000</f>
        <v>0</v>
      </c>
      <c r="K11" s="33"/>
      <c r="L11" s="33"/>
      <c r="M11" s="33"/>
      <c r="N11" s="33">
        <f>C33*'E Balans VL '!Y21/100/3.6*1000000</f>
        <v>137.98452216372522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9117.2301513999992</v>
      </c>
      <c r="C15" s="33"/>
      <c r="D15" s="37">
        <f>IF( ISERROR(IND_rest_gas_kWh/1000),0,IND_rest_gas_kWh/1000)*0.902</f>
        <v>72509.759969195991</v>
      </c>
      <c r="E15" s="33">
        <f>C37*'E Balans VL '!I15/100/3.6*1000000</f>
        <v>494.8184287818471</v>
      </c>
      <c r="F15" s="33">
        <f>C37*'E Balans VL '!L15/100/3.6*1000000+C37*'E Balans VL '!N15/100/3.6*1000000</f>
        <v>1987.1346086848889</v>
      </c>
      <c r="G15" s="34"/>
      <c r="H15" s="33"/>
      <c r="I15" s="33"/>
      <c r="J15" s="40">
        <f>C37*'E Balans VL '!D15/100/3.6*1000000+C37*'E Balans VL '!E15/100/3.6*1000000</f>
        <v>73.914438342954355</v>
      </c>
      <c r="K15" s="33"/>
      <c r="L15" s="33"/>
      <c r="M15" s="33"/>
      <c r="N15" s="33">
        <f>C37*'E Balans VL '!Y15/100/3.6*1000000</f>
        <v>1835.9155981034635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78817.764305028002</v>
      </c>
      <c r="C18" s="21">
        <f>C5+C16</f>
        <v>0</v>
      </c>
      <c r="D18" s="21">
        <f>MAX((D5+D16),0)</f>
        <v>73029.645260092904</v>
      </c>
      <c r="E18" s="21">
        <f>MAX((E5+E16),0)</f>
        <v>919.12409917124262</v>
      </c>
      <c r="F18" s="21">
        <f>MAX((F5+F16),0)</f>
        <v>6451.5613864748902</v>
      </c>
      <c r="G18" s="21"/>
      <c r="H18" s="21"/>
      <c r="I18" s="21"/>
      <c r="J18" s="21">
        <f>MAX((J5+J16),0)</f>
        <v>73.914438342954355</v>
      </c>
      <c r="K18" s="21"/>
      <c r="L18" s="21">
        <f>MAX((L5+L16),0)</f>
        <v>0</v>
      </c>
      <c r="M18" s="21"/>
      <c r="N18" s="21">
        <f>MAX((N5+N16),0)</f>
        <v>2291.6230738623599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0.19351141747726106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15252.137293054639</v>
      </c>
      <c r="C22" s="23">
        <f ca="1">C18*C20</f>
        <v>0</v>
      </c>
      <c r="D22" s="23">
        <f>D18*D20</f>
        <v>14751.988342538767</v>
      </c>
      <c r="E22" s="23">
        <f>E18*E20</f>
        <v>208.64117051187208</v>
      </c>
      <c r="F22" s="23">
        <f>F18*F20</f>
        <v>1722.5668901887957</v>
      </c>
      <c r="G22" s="23"/>
      <c r="H22" s="23"/>
      <c r="I22" s="23"/>
      <c r="J22" s="23">
        <f>J18*J20</f>
        <v>26.165711173405839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55.190834798999994</v>
      </c>
      <c r="C30" s="39">
        <f>IF(ISERROR(B30*3.6/1000000/'E Balans VL '!Z18*100),0,B30*3.6/1000000/'E Balans VL '!Z18*100)</f>
        <v>1.1693754633595475E-2</v>
      </c>
      <c r="D30" s="237" t="s">
        <v>660</v>
      </c>
    </row>
    <row r="31" spans="1:18">
      <c r="A31" s="6" t="s">
        <v>33</v>
      </c>
      <c r="B31" s="37">
        <f>IF( ISERROR(IND_ander_ele_kWh/1000),0,IND_ander_ele_kWh/1000)</f>
        <v>908.18037334000007</v>
      </c>
      <c r="C31" s="39">
        <f>IF(ISERROR(B31*3.6/1000000/'E Balans VL '!Z19*100),0,B31*3.6/1000000/'E Balans VL '!Z19*100)</f>
        <v>3.8227374087391734E-2</v>
      </c>
      <c r="D31" s="237" t="s">
        <v>660</v>
      </c>
    </row>
    <row r="32" spans="1:18">
      <c r="A32" s="171" t="s">
        <v>41</v>
      </c>
      <c r="B32" s="37">
        <f>IF( ISERROR(IND_voed_ele_kWh/1000),0,IND_voed_ele_kWh/1000)</f>
        <v>82.494628488999993</v>
      </c>
      <c r="C32" s="39">
        <f>IF(ISERROR(B32*3.6/1000000/'E Balans VL '!Z20*100),0,B32*3.6/1000000/'E Balans VL '!Z20*100)</f>
        <v>1.3781661051615234E-2</v>
      </c>
      <c r="D32" s="237" t="s">
        <v>660</v>
      </c>
    </row>
    <row r="33" spans="1:5">
      <c r="A33" s="171" t="s">
        <v>40</v>
      </c>
      <c r="B33" s="37">
        <f>IF( ISERROR(IND_textiel_ele_kWh/1000),0,IND_textiel_ele_kWh/1000)</f>
        <v>68654.668317000003</v>
      </c>
      <c r="C33" s="39">
        <f>IF(ISERROR(B33*3.6/1000000/'E Balans VL '!Z21*100),0,B33*3.6/1000000/'E Balans VL '!Z21*100)</f>
        <v>4.0082649866005875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9117.2301513999992</v>
      </c>
      <c r="C37" s="39">
        <f>IF(ISERROR(B37*3.6/1000000/'E Balans VL '!Z15*100),0,B37*3.6/1000000/'E Balans VL '!Z15*100)</f>
        <v>7.3606929365576126E-2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487.37085208299999</v>
      </c>
      <c r="C5" s="17">
        <f>'Eigen informatie GS &amp; warmtenet'!B60</f>
        <v>0</v>
      </c>
      <c r="D5" s="30">
        <f>IF(ISERROR(SUM(LB_lb_gas_kWh,LB_rest_gas_kWh,onbekend_gas_kWh)/1000),0,SUM(LB_lb_gas_kWh,LB_rest_gas_kWh,onbekend_gas_kWh)/1000)*0.902</f>
        <v>780.44018088480402</v>
      </c>
      <c r="E5" s="17">
        <f>B17*'E Balans VL '!I25/3.6*1000000/100</f>
        <v>12.567422987497048</v>
      </c>
      <c r="F5" s="17">
        <f>B17*('E Balans VL '!L25/3.6*1000000+'E Balans VL '!N25/3.6*1000000)/100</f>
        <v>1781.4332796334438</v>
      </c>
      <c r="G5" s="18"/>
      <c r="H5" s="17"/>
      <c r="I5" s="17"/>
      <c r="J5" s="17">
        <f>('E Balans VL '!D25+'E Balans VL '!E25)/3.6*1000000*landbouw!B17/100</f>
        <v>70.163473955548511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487.37085208299999</v>
      </c>
      <c r="C8" s="21">
        <f>C5+C6</f>
        <v>0</v>
      </c>
      <c r="D8" s="21">
        <f>MAX((D5+D6),0)</f>
        <v>780.44018088480402</v>
      </c>
      <c r="E8" s="21">
        <f>MAX((E5+E6),0)</f>
        <v>12.567422987497048</v>
      </c>
      <c r="F8" s="21">
        <f>MAX((F5+F6),0)</f>
        <v>1781.4332796334438</v>
      </c>
      <c r="G8" s="21"/>
      <c r="H8" s="21"/>
      <c r="I8" s="21"/>
      <c r="J8" s="21">
        <f>MAX((J5+J6),0)</f>
        <v>70.163473955548511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0.19351141747726106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94.311824423681855</v>
      </c>
      <c r="C12" s="23">
        <f ca="1">C8*C10</f>
        <v>0</v>
      </c>
      <c r="D12" s="23">
        <f>D8*D10</f>
        <v>157.64891653873042</v>
      </c>
      <c r="E12" s="23">
        <f>E8*E10</f>
        <v>2.8528050181618299</v>
      </c>
      <c r="F12" s="23">
        <f>F8*F10</f>
        <v>475.64268566212951</v>
      </c>
      <c r="G12" s="23"/>
      <c r="H12" s="23"/>
      <c r="I12" s="23"/>
      <c r="J12" s="23">
        <f>J8*J10</f>
        <v>24.837869780264171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6.8722518415840067E-2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216.37119194459819</v>
      </c>
      <c r="C26" s="247">
        <f>B26*'GWP N2O_CH4'!B5</f>
        <v>4543.7950308365616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40.694437870323895</v>
      </c>
      <c r="C27" s="247">
        <f>B27*'GWP N2O_CH4'!B5</f>
        <v>854.5831952768018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3.1147499058260117</v>
      </c>
      <c r="C28" s="247">
        <f>B28*'GWP N2O_CH4'!B4</f>
        <v>965.57247080606362</v>
      </c>
      <c r="D28" s="50"/>
    </row>
    <row r="29" spans="1:4">
      <c r="A29" s="41" t="s">
        <v>277</v>
      </c>
      <c r="B29" s="247">
        <f>B34*'ha_N2O bodem landbouw'!B4</f>
        <v>8.8037381110706789</v>
      </c>
      <c r="C29" s="247">
        <f>B29*'GWP N2O_CH4'!B4</f>
        <v>2729.1588144319103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1.981319484036488E-3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3.3930007657190612E-5</v>
      </c>
      <c r="C5" s="463" t="s">
        <v>211</v>
      </c>
      <c r="D5" s="448">
        <f>SUM(D6:D11)</f>
        <v>7.1608000786083339E-5</v>
      </c>
      <c r="E5" s="448">
        <f>SUM(E6:E11)</f>
        <v>2.7895604310568923E-4</v>
      </c>
      <c r="F5" s="461" t="s">
        <v>211</v>
      </c>
      <c r="G5" s="448">
        <f>SUM(G6:G11)</f>
        <v>9.9817689150320618E-2</v>
      </c>
      <c r="H5" s="448">
        <f>SUM(H6:H11)</f>
        <v>1.9318347444641674E-2</v>
      </c>
      <c r="I5" s="463" t="s">
        <v>211</v>
      </c>
      <c r="J5" s="463" t="s">
        <v>211</v>
      </c>
      <c r="K5" s="463" t="s">
        <v>211</v>
      </c>
      <c r="L5" s="463" t="s">
        <v>211</v>
      </c>
      <c r="M5" s="448">
        <f>SUM(M6:M11)</f>
        <v>3.7235550691789563E-3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3.119470094779157E-5</v>
      </c>
      <c r="C6" s="449"/>
      <c r="D6" s="962">
        <f>vkm_2011_GW_PW*SUMIFS(TableVerdeelsleutelVkm[CNG],TableVerdeelsleutelVkm[Voertuigtype],"Lichte voertuigen")*SUMIFS(TableECFTransport[EnergieConsumptieFactor (PJ per km)],TableECFTransport[Index],CONCATENATE($A6,"_CNG_CNG"))</f>
        <v>6.1984417206316025E-5</v>
      </c>
      <c r="E6" s="962">
        <f>vkm_2011_GW_PW*SUMIFS(TableVerdeelsleutelVkm[LPG],TableVerdeelsleutelVkm[Voertuigtype],"Lichte voertuigen")*SUMIFS(TableECFTransport[EnergieConsumptieFactor (PJ per km)],TableECFTransport[Index],CONCATENATE($A6,"_LPG_LPG"))</f>
        <v>2.4393090145473047E-4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5.799839860865124E-2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1.6781046497715484E-2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2.3301965618636208E-3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3.2450514588201272E-2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1.0482902287296423E-5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1.0224660629185264E-3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2.7353067093990435E-6</v>
      </c>
      <c r="C8" s="449"/>
      <c r="D8" s="451">
        <f>vkm_2011_NGW_PW*SUMIFS(TableVerdeelsleutelVkm[CNG],TableVerdeelsleutelVkm[Voertuigtype],"Lichte voertuigen")*SUMIFS(TableECFTransport[EnergieConsumptieFactor (PJ per km)],TableECFTransport[Index],CONCATENATE($A8,"_CNG_CNG"))</f>
        <v>9.6235835797673156E-6</v>
      </c>
      <c r="E8" s="451">
        <f>vkm_2011_NGW_PW*SUMIFS(TableVerdeelsleutelVkm[LPG],TableVerdeelsleutelVkm[Voertuigtype],"Lichte voertuigen")*SUMIFS(TableECFTransport[EnergieConsumptieFactor (PJ per km)],TableECFTransport[Index],CONCATENATE($A8,"_LPG_LPG"))</f>
        <v>3.5025141650958749E-5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7.7765660390914501E-3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2.5263316110095326E-3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3.2072518355341254E-4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1.5922099143766606E-3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4.8643362935767632E-7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5.0167260843396452E-5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9.4250021269973914</v>
      </c>
      <c r="C14" s="21"/>
      <c r="D14" s="21">
        <f t="shared" ref="D14:M14" si="0">((D5)*10^9/3600)+D12</f>
        <v>19.891111329467595</v>
      </c>
      <c r="E14" s="21">
        <f t="shared" si="0"/>
        <v>77.487789751580337</v>
      </c>
      <c r="F14" s="21"/>
      <c r="G14" s="21">
        <f t="shared" si="0"/>
        <v>27727.135875089061</v>
      </c>
      <c r="H14" s="21">
        <f t="shared" si="0"/>
        <v>5366.2076235115755</v>
      </c>
      <c r="I14" s="21"/>
      <c r="J14" s="21"/>
      <c r="K14" s="21"/>
      <c r="L14" s="21"/>
      <c r="M14" s="21">
        <f t="shared" si="0"/>
        <v>1034.32085254971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0.19351141747726106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1.8238455213214657</v>
      </c>
      <c r="C18" s="23"/>
      <c r="D18" s="23">
        <f t="shared" ref="D18:M18" si="1">D14*D16</f>
        <v>4.0180044885524548</v>
      </c>
      <c r="E18" s="23">
        <f t="shared" si="1"/>
        <v>17.589728273608738</v>
      </c>
      <c r="F18" s="23"/>
      <c r="G18" s="23">
        <f t="shared" si="1"/>
        <v>7403.1452786487798</v>
      </c>
      <c r="H18" s="23">
        <f t="shared" si="1"/>
        <v>1336.1856982543823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3.6105399990663438E-3</v>
      </c>
      <c r="H50" s="321">
        <f t="shared" si="2"/>
        <v>0</v>
      </c>
      <c r="I50" s="321">
        <f t="shared" si="2"/>
        <v>0</v>
      </c>
      <c r="J50" s="321">
        <f t="shared" si="2"/>
        <v>0</v>
      </c>
      <c r="K50" s="321">
        <f t="shared" si="2"/>
        <v>0</v>
      </c>
      <c r="L50" s="321">
        <f t="shared" si="2"/>
        <v>0</v>
      </c>
      <c r="M50" s="321">
        <f t="shared" si="2"/>
        <v>1.1199087333562359E-4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3.6105399990663438E-3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1.1199087333562359E-4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1002.9277775184289</v>
      </c>
      <c r="H54" s="21">
        <f t="shared" si="3"/>
        <v>0</v>
      </c>
      <c r="I54" s="21">
        <f t="shared" si="3"/>
        <v>0</v>
      </c>
      <c r="J54" s="21">
        <f t="shared" si="3"/>
        <v>0</v>
      </c>
      <c r="K54" s="21">
        <f t="shared" si="3"/>
        <v>0</v>
      </c>
      <c r="L54" s="21">
        <f t="shared" si="3"/>
        <v>0</v>
      </c>
      <c r="M54" s="21">
        <f t="shared" si="3"/>
        <v>31.108575926562107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0.19351141747726106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267.78171659742054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12169.807208050885</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1894.6430977666409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14064.450305817525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14113.396911309999</v>
      </c>
      <c r="D10" s="718">
        <f ca="1">tertiair!C16</f>
        <v>0</v>
      </c>
      <c r="E10" s="718">
        <f ca="1">tertiair!D16</f>
        <v>8903.3424002399806</v>
      </c>
      <c r="F10" s="718">
        <f>tertiair!E16</f>
        <v>269.92145123372831</v>
      </c>
      <c r="G10" s="718">
        <f ca="1">tertiair!F16</f>
        <v>3378.1336987701629</v>
      </c>
      <c r="H10" s="718">
        <f>tertiair!G16</f>
        <v>0</v>
      </c>
      <c r="I10" s="718">
        <f>tertiair!H16</f>
        <v>0</v>
      </c>
      <c r="J10" s="718">
        <f>tertiair!I16</f>
        <v>0</v>
      </c>
      <c r="K10" s="718">
        <f>tertiair!J16</f>
        <v>0</v>
      </c>
      <c r="L10" s="718">
        <f>tertiair!K16</f>
        <v>0</v>
      </c>
      <c r="M10" s="718">
        <f ca="1">tertiair!L16</f>
        <v>0</v>
      </c>
      <c r="N10" s="718">
        <f>tertiair!M16</f>
        <v>0</v>
      </c>
      <c r="O10" s="718">
        <f ca="1">tertiair!N16</f>
        <v>1223.3537553294855</v>
      </c>
      <c r="P10" s="718">
        <f>tertiair!O16</f>
        <v>4.6900000000000004</v>
      </c>
      <c r="Q10" s="719">
        <f>tertiair!P16</f>
        <v>0</v>
      </c>
      <c r="R10" s="721">
        <f ca="1">SUM(C10:Q10)</f>
        <v>27892.838216883352</v>
      </c>
      <c r="S10" s="67"/>
    </row>
    <row r="11" spans="1:19" s="474" customFormat="1">
      <c r="A11" s="870" t="s">
        <v>225</v>
      </c>
      <c r="B11" s="875"/>
      <c r="C11" s="718">
        <f>huishoudens!B8</f>
        <v>19646.02610099196</v>
      </c>
      <c r="D11" s="718">
        <f>huishoudens!C8</f>
        <v>0</v>
      </c>
      <c r="E11" s="718">
        <f>huishoudens!D8</f>
        <v>23839.366312850001</v>
      </c>
      <c r="F11" s="718">
        <f>huishoudens!E8</f>
        <v>2034.9986070321195</v>
      </c>
      <c r="G11" s="718">
        <f>huishoudens!F8</f>
        <v>22867.019597463513</v>
      </c>
      <c r="H11" s="718">
        <f>huishoudens!G8</f>
        <v>0</v>
      </c>
      <c r="I11" s="718">
        <f>huishoudens!H8</f>
        <v>0</v>
      </c>
      <c r="J11" s="718">
        <f>huishoudens!I8</f>
        <v>0</v>
      </c>
      <c r="K11" s="718">
        <f>huishoudens!J8</f>
        <v>0</v>
      </c>
      <c r="L11" s="718">
        <f>huishoudens!K8</f>
        <v>0</v>
      </c>
      <c r="M11" s="718">
        <f>huishoudens!L8</f>
        <v>0</v>
      </c>
      <c r="N11" s="718">
        <f>huishoudens!M8</f>
        <v>0</v>
      </c>
      <c r="O11" s="718">
        <f>huishoudens!N8</f>
        <v>6550.1343096280061</v>
      </c>
      <c r="P11" s="718">
        <f>huishoudens!O8</f>
        <v>248.57000000000002</v>
      </c>
      <c r="Q11" s="719">
        <f>huishoudens!P8</f>
        <v>133.46666666666667</v>
      </c>
      <c r="R11" s="721">
        <f>SUM(C11:Q11)</f>
        <v>75319.581594632269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78817.764305028002</v>
      </c>
      <c r="D13" s="718">
        <f>industrie!C18</f>
        <v>0</v>
      </c>
      <c r="E13" s="718">
        <f>industrie!D18</f>
        <v>73029.645260092904</v>
      </c>
      <c r="F13" s="718">
        <f>industrie!E18</f>
        <v>919.12409917124262</v>
      </c>
      <c r="G13" s="718">
        <f>industrie!F18</f>
        <v>6451.5613864748902</v>
      </c>
      <c r="H13" s="718">
        <f>industrie!G18</f>
        <v>0</v>
      </c>
      <c r="I13" s="718">
        <f>industrie!H18</f>
        <v>0</v>
      </c>
      <c r="J13" s="718">
        <f>industrie!I18</f>
        <v>0</v>
      </c>
      <c r="K13" s="718">
        <f>industrie!J18</f>
        <v>73.914438342954355</v>
      </c>
      <c r="L13" s="718">
        <f>industrie!K18</f>
        <v>0</v>
      </c>
      <c r="M13" s="718">
        <f>industrie!L18</f>
        <v>0</v>
      </c>
      <c r="N13" s="718">
        <f>industrie!M18</f>
        <v>0</v>
      </c>
      <c r="O13" s="718">
        <f>industrie!N18</f>
        <v>2291.6230738623599</v>
      </c>
      <c r="P13" s="718">
        <f>industrie!O18</f>
        <v>0</v>
      </c>
      <c r="Q13" s="719">
        <f>industrie!P18</f>
        <v>0</v>
      </c>
      <c r="R13" s="721">
        <f>SUM(C13:Q13)</f>
        <v>161583.6325629724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112577.18731732995</v>
      </c>
      <c r="D15" s="723">
        <f t="shared" ref="D15:Q15" ca="1" si="0">SUM(D9:D14)</f>
        <v>0</v>
      </c>
      <c r="E15" s="723">
        <f t="shared" ca="1" si="0"/>
        <v>105772.35397318288</v>
      </c>
      <c r="F15" s="723">
        <f t="shared" si="0"/>
        <v>3224.0441574370902</v>
      </c>
      <c r="G15" s="723">
        <f t="shared" ca="1" si="0"/>
        <v>32696.714682708567</v>
      </c>
      <c r="H15" s="723">
        <f t="shared" si="0"/>
        <v>0</v>
      </c>
      <c r="I15" s="723">
        <f t="shared" si="0"/>
        <v>0</v>
      </c>
      <c r="J15" s="723">
        <f t="shared" si="0"/>
        <v>0</v>
      </c>
      <c r="K15" s="723">
        <f t="shared" si="0"/>
        <v>73.914438342954355</v>
      </c>
      <c r="L15" s="723">
        <f t="shared" si="0"/>
        <v>0</v>
      </c>
      <c r="M15" s="723">
        <f t="shared" ca="1" si="0"/>
        <v>0</v>
      </c>
      <c r="N15" s="723">
        <f t="shared" si="0"/>
        <v>0</v>
      </c>
      <c r="O15" s="723">
        <f t="shared" ca="1" si="0"/>
        <v>10065.111138819851</v>
      </c>
      <c r="P15" s="723">
        <f t="shared" si="0"/>
        <v>253.26000000000002</v>
      </c>
      <c r="Q15" s="724">
        <f t="shared" si="0"/>
        <v>133.46666666666667</v>
      </c>
      <c r="R15" s="725">
        <f ca="1">SUM(R9:R14)</f>
        <v>264796.05237448803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1002.9277775184289</v>
      </c>
      <c r="I18" s="718">
        <f>transport!H54</f>
        <v>0</v>
      </c>
      <c r="J18" s="718">
        <f>transport!I54</f>
        <v>0</v>
      </c>
      <c r="K18" s="718">
        <f>transport!J54</f>
        <v>0</v>
      </c>
      <c r="L18" s="718">
        <f>transport!K54</f>
        <v>0</v>
      </c>
      <c r="M18" s="718">
        <f>transport!L54</f>
        <v>0</v>
      </c>
      <c r="N18" s="718">
        <f>transport!M54</f>
        <v>31.108575926562107</v>
      </c>
      <c r="O18" s="718">
        <f>transport!N54</f>
        <v>0</v>
      </c>
      <c r="P18" s="718">
        <f>transport!O54</f>
        <v>0</v>
      </c>
      <c r="Q18" s="719">
        <f>transport!P54</f>
        <v>0</v>
      </c>
      <c r="R18" s="721">
        <f>SUM(C18:Q18)</f>
        <v>1034.0363534449909</v>
      </c>
      <c r="S18" s="67"/>
    </row>
    <row r="19" spans="1:19" s="474" customFormat="1" ht="15" thickBot="1">
      <c r="A19" s="870" t="s">
        <v>307</v>
      </c>
      <c r="B19" s="875"/>
      <c r="C19" s="727">
        <f>transport!B14</f>
        <v>9.4250021269973914</v>
      </c>
      <c r="D19" s="727">
        <f>transport!C14</f>
        <v>0</v>
      </c>
      <c r="E19" s="727">
        <f>transport!D14</f>
        <v>19.891111329467595</v>
      </c>
      <c r="F19" s="727">
        <f>transport!E14</f>
        <v>77.487789751580337</v>
      </c>
      <c r="G19" s="727">
        <f>transport!F14</f>
        <v>0</v>
      </c>
      <c r="H19" s="727">
        <f>transport!G14</f>
        <v>27727.135875089061</v>
      </c>
      <c r="I19" s="727">
        <f>transport!H14</f>
        <v>5366.2076235115755</v>
      </c>
      <c r="J19" s="727">
        <f>transport!I14</f>
        <v>0</v>
      </c>
      <c r="K19" s="727">
        <f>transport!J14</f>
        <v>0</v>
      </c>
      <c r="L19" s="727">
        <f>transport!K14</f>
        <v>0</v>
      </c>
      <c r="M19" s="727">
        <f>transport!L14</f>
        <v>0</v>
      </c>
      <c r="N19" s="727">
        <f>transport!M14</f>
        <v>1034.32085254971</v>
      </c>
      <c r="O19" s="727">
        <f>transport!N14</f>
        <v>0</v>
      </c>
      <c r="P19" s="727">
        <f>transport!O14</f>
        <v>0</v>
      </c>
      <c r="Q19" s="728">
        <f>transport!P14</f>
        <v>0</v>
      </c>
      <c r="R19" s="729">
        <f>SUM(C19:Q19)</f>
        <v>34234.468254358391</v>
      </c>
      <c r="S19" s="67"/>
    </row>
    <row r="20" spans="1:19" s="474" customFormat="1" ht="15.75" thickBot="1">
      <c r="A20" s="730" t="s">
        <v>230</v>
      </c>
      <c r="B20" s="878"/>
      <c r="C20" s="873">
        <f>SUM(C17:C19)</f>
        <v>9.4250021269973914</v>
      </c>
      <c r="D20" s="731">
        <f t="shared" ref="D20:R20" si="1">SUM(D17:D19)</f>
        <v>0</v>
      </c>
      <c r="E20" s="731">
        <f t="shared" si="1"/>
        <v>19.891111329467595</v>
      </c>
      <c r="F20" s="731">
        <f t="shared" si="1"/>
        <v>77.487789751580337</v>
      </c>
      <c r="G20" s="731">
        <f t="shared" si="1"/>
        <v>0</v>
      </c>
      <c r="H20" s="731">
        <f t="shared" si="1"/>
        <v>28730.063652607489</v>
      </c>
      <c r="I20" s="731">
        <f t="shared" si="1"/>
        <v>5366.2076235115755</v>
      </c>
      <c r="J20" s="731">
        <f t="shared" si="1"/>
        <v>0</v>
      </c>
      <c r="K20" s="731">
        <f t="shared" si="1"/>
        <v>0</v>
      </c>
      <c r="L20" s="731">
        <f t="shared" si="1"/>
        <v>0</v>
      </c>
      <c r="M20" s="731">
        <f t="shared" si="1"/>
        <v>0</v>
      </c>
      <c r="N20" s="731">
        <f t="shared" si="1"/>
        <v>1065.4294284762721</v>
      </c>
      <c r="O20" s="731">
        <f t="shared" si="1"/>
        <v>0</v>
      </c>
      <c r="P20" s="731">
        <f t="shared" si="1"/>
        <v>0</v>
      </c>
      <c r="Q20" s="732">
        <f t="shared" si="1"/>
        <v>0</v>
      </c>
      <c r="R20" s="733">
        <f t="shared" si="1"/>
        <v>35268.504607803385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487.37085208299999</v>
      </c>
      <c r="D22" s="727">
        <f>+landbouw!C8</f>
        <v>0</v>
      </c>
      <c r="E22" s="727">
        <f>+landbouw!D8</f>
        <v>780.44018088480402</v>
      </c>
      <c r="F22" s="727">
        <f>+landbouw!E8</f>
        <v>12.567422987497048</v>
      </c>
      <c r="G22" s="727">
        <f>+landbouw!F8</f>
        <v>1781.4332796334438</v>
      </c>
      <c r="H22" s="727">
        <f>+landbouw!G8</f>
        <v>0</v>
      </c>
      <c r="I22" s="727">
        <f>+landbouw!H8</f>
        <v>0</v>
      </c>
      <c r="J22" s="727">
        <f>+landbouw!I8</f>
        <v>0</v>
      </c>
      <c r="K22" s="727">
        <f>+landbouw!J8</f>
        <v>70.163473955548511</v>
      </c>
      <c r="L22" s="727">
        <f>+landbouw!K8</f>
        <v>0</v>
      </c>
      <c r="M22" s="727">
        <f>+landbouw!L8</f>
        <v>0</v>
      </c>
      <c r="N22" s="727">
        <f>+landbouw!M8</f>
        <v>0</v>
      </c>
      <c r="O22" s="727">
        <f>+landbouw!N8</f>
        <v>0</v>
      </c>
      <c r="P22" s="727">
        <f>+landbouw!O8</f>
        <v>0</v>
      </c>
      <c r="Q22" s="728">
        <f>+landbouw!P8</f>
        <v>0</v>
      </c>
      <c r="R22" s="729">
        <f>SUM(C22:Q22)</f>
        <v>3131.9752095442936</v>
      </c>
      <c r="S22" s="67"/>
    </row>
    <row r="23" spans="1:19" s="474" customFormat="1" ht="17.25" thickTop="1" thickBot="1">
      <c r="A23" s="734" t="s">
        <v>116</v>
      </c>
      <c r="B23" s="864"/>
      <c r="C23" s="735">
        <f ca="1">C20+C15+C22</f>
        <v>113073.98317153995</v>
      </c>
      <c r="D23" s="735">
        <f t="shared" ref="D23:Q23" ca="1" si="2">D20+D15+D22</f>
        <v>0</v>
      </c>
      <c r="E23" s="735">
        <f t="shared" ca="1" si="2"/>
        <v>106572.68526539716</v>
      </c>
      <c r="F23" s="735">
        <f t="shared" si="2"/>
        <v>3314.0993701761677</v>
      </c>
      <c r="G23" s="735">
        <f t="shared" ca="1" si="2"/>
        <v>34478.147962342009</v>
      </c>
      <c r="H23" s="735">
        <f t="shared" si="2"/>
        <v>28730.063652607489</v>
      </c>
      <c r="I23" s="735">
        <f t="shared" si="2"/>
        <v>5366.2076235115755</v>
      </c>
      <c r="J23" s="735">
        <f t="shared" si="2"/>
        <v>0</v>
      </c>
      <c r="K23" s="735">
        <f t="shared" si="2"/>
        <v>144.07791229850287</v>
      </c>
      <c r="L23" s="735">
        <f t="shared" si="2"/>
        <v>0</v>
      </c>
      <c r="M23" s="735">
        <f t="shared" ca="1" si="2"/>
        <v>0</v>
      </c>
      <c r="N23" s="735">
        <f t="shared" si="2"/>
        <v>1065.4294284762721</v>
      </c>
      <c r="O23" s="735">
        <f t="shared" ca="1" si="2"/>
        <v>10065.111138819851</v>
      </c>
      <c r="P23" s="735">
        <f t="shared" si="2"/>
        <v>253.26000000000002</v>
      </c>
      <c r="Q23" s="736">
        <f t="shared" si="2"/>
        <v>133.46666666666667</v>
      </c>
      <c r="R23" s="737">
        <f ca="1">R20+R15+R22</f>
        <v>303196.53219183569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2731.1034417267961</v>
      </c>
      <c r="D36" s="718">
        <f ca="1">tertiair!C20</f>
        <v>0</v>
      </c>
      <c r="E36" s="718">
        <f ca="1">tertiair!D20</f>
        <v>1798.4751648484762</v>
      </c>
      <c r="F36" s="718">
        <f>tertiair!E20</f>
        <v>61.27216943005633</v>
      </c>
      <c r="G36" s="718">
        <f ca="1">tertiair!F20</f>
        <v>901.96169757163352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5492.8124735769625</v>
      </c>
    </row>
    <row r="37" spans="1:18">
      <c r="A37" s="885" t="s">
        <v>225</v>
      </c>
      <c r="B37" s="892"/>
      <c r="C37" s="718">
        <f ca="1">huishoudens!B12</f>
        <v>3801.7303585982222</v>
      </c>
      <c r="D37" s="718">
        <f ca="1">huishoudens!C12</f>
        <v>0</v>
      </c>
      <c r="E37" s="718">
        <f>huishoudens!D12</f>
        <v>4815.5519951957003</v>
      </c>
      <c r="F37" s="718">
        <f>huishoudens!E12</f>
        <v>461.94468379629114</v>
      </c>
      <c r="G37" s="718">
        <f>huishoudens!F12</f>
        <v>6105.4942325227585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15184.721270112972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15252.137293054639</v>
      </c>
      <c r="D39" s="718">
        <f ca="1">industrie!C22</f>
        <v>0</v>
      </c>
      <c r="E39" s="718">
        <f>industrie!D22</f>
        <v>14751.988342538767</v>
      </c>
      <c r="F39" s="718">
        <f>industrie!E22</f>
        <v>208.64117051187208</v>
      </c>
      <c r="G39" s="718">
        <f>industrie!F22</f>
        <v>1722.5668901887957</v>
      </c>
      <c r="H39" s="718">
        <f>industrie!G22</f>
        <v>0</v>
      </c>
      <c r="I39" s="718">
        <f>industrie!H22</f>
        <v>0</v>
      </c>
      <c r="J39" s="718">
        <f>industrie!I22</f>
        <v>0</v>
      </c>
      <c r="K39" s="718">
        <f>industrie!J22</f>
        <v>26.165711173405839</v>
      </c>
      <c r="L39" s="718">
        <f>industrie!K22</f>
        <v>0</v>
      </c>
      <c r="M39" s="718">
        <f>industrie!L22</f>
        <v>0</v>
      </c>
      <c r="N39" s="718">
        <f>industrie!M22</f>
        <v>0</v>
      </c>
      <c r="O39" s="718">
        <f>industrie!N22</f>
        <v>0</v>
      </c>
      <c r="P39" s="718">
        <f>industrie!O22</f>
        <v>0</v>
      </c>
      <c r="Q39" s="828">
        <f>industrie!P22</f>
        <v>0</v>
      </c>
      <c r="R39" s="918">
        <f ca="1">SUM(C39:Q39)</f>
        <v>31961.49940746748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21784.971093379656</v>
      </c>
      <c r="D41" s="763">
        <f t="shared" ref="D41:R41" ca="1" si="4">SUM(D35:D40)</f>
        <v>0</v>
      </c>
      <c r="E41" s="763">
        <f t="shared" ca="1" si="4"/>
        <v>21366.015502582944</v>
      </c>
      <c r="F41" s="763">
        <f t="shared" si="4"/>
        <v>731.85802373821957</v>
      </c>
      <c r="G41" s="763">
        <f t="shared" ca="1" si="4"/>
        <v>8730.0228202831877</v>
      </c>
      <c r="H41" s="763">
        <f t="shared" si="4"/>
        <v>0</v>
      </c>
      <c r="I41" s="763">
        <f t="shared" si="4"/>
        <v>0</v>
      </c>
      <c r="J41" s="763">
        <f t="shared" si="4"/>
        <v>0</v>
      </c>
      <c r="K41" s="763">
        <f t="shared" si="4"/>
        <v>26.165711173405839</v>
      </c>
      <c r="L41" s="763">
        <f t="shared" si="4"/>
        <v>0</v>
      </c>
      <c r="M41" s="763">
        <f t="shared" ca="1" si="4"/>
        <v>0</v>
      </c>
      <c r="N41" s="763">
        <f t="shared" si="4"/>
        <v>0</v>
      </c>
      <c r="O41" s="763">
        <f t="shared" ca="1" si="4"/>
        <v>0</v>
      </c>
      <c r="P41" s="763">
        <f t="shared" si="4"/>
        <v>0</v>
      </c>
      <c r="Q41" s="764">
        <f t="shared" si="4"/>
        <v>0</v>
      </c>
      <c r="R41" s="765">
        <f t="shared" ca="1" si="4"/>
        <v>52639.033151157419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267.78171659742054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267.78171659742054</v>
      </c>
    </row>
    <row r="45" spans="1:18" ht="15" thickBot="1">
      <c r="A45" s="888" t="s">
        <v>307</v>
      </c>
      <c r="B45" s="898"/>
      <c r="C45" s="727">
        <f ca="1">transport!B18</f>
        <v>1.8238455213214657</v>
      </c>
      <c r="D45" s="727">
        <f>transport!C18</f>
        <v>0</v>
      </c>
      <c r="E45" s="727">
        <f>transport!D18</f>
        <v>4.0180044885524548</v>
      </c>
      <c r="F45" s="727">
        <f>transport!E18</f>
        <v>17.589728273608738</v>
      </c>
      <c r="G45" s="727">
        <f>transport!F18</f>
        <v>0</v>
      </c>
      <c r="H45" s="727">
        <f>transport!G18</f>
        <v>7403.1452786487798</v>
      </c>
      <c r="I45" s="727">
        <f>transport!H18</f>
        <v>1336.1856982543823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8762.762555186644</v>
      </c>
    </row>
    <row r="46" spans="1:18" ht="15.75" thickBot="1">
      <c r="A46" s="886" t="s">
        <v>230</v>
      </c>
      <c r="B46" s="899"/>
      <c r="C46" s="763">
        <f t="shared" ref="C46:R46" ca="1" si="5">SUM(C43:C45)</f>
        <v>1.8238455213214657</v>
      </c>
      <c r="D46" s="763">
        <f t="shared" ca="1" si="5"/>
        <v>0</v>
      </c>
      <c r="E46" s="763">
        <f t="shared" si="5"/>
        <v>4.0180044885524548</v>
      </c>
      <c r="F46" s="763">
        <f t="shared" si="5"/>
        <v>17.589728273608738</v>
      </c>
      <c r="G46" s="763">
        <f t="shared" si="5"/>
        <v>0</v>
      </c>
      <c r="H46" s="763">
        <f t="shared" si="5"/>
        <v>7670.9269952462</v>
      </c>
      <c r="I46" s="763">
        <f t="shared" si="5"/>
        <v>1336.1856982543823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9030.5442717840651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94.311824423681855</v>
      </c>
      <c r="D48" s="718">
        <f ca="1">+landbouw!C12</f>
        <v>0</v>
      </c>
      <c r="E48" s="718">
        <f>+landbouw!D12</f>
        <v>157.64891653873042</v>
      </c>
      <c r="F48" s="718">
        <f>+landbouw!E12</f>
        <v>2.8528050181618299</v>
      </c>
      <c r="G48" s="718">
        <f>+landbouw!F12</f>
        <v>475.64268566212951</v>
      </c>
      <c r="H48" s="718">
        <f>+landbouw!G12</f>
        <v>0</v>
      </c>
      <c r="I48" s="718">
        <f>+landbouw!H12</f>
        <v>0</v>
      </c>
      <c r="J48" s="718">
        <f>+landbouw!I12</f>
        <v>0</v>
      </c>
      <c r="K48" s="718">
        <f>+landbouw!J12</f>
        <v>24.837869780264171</v>
      </c>
      <c r="L48" s="718">
        <f>+landbouw!K12</f>
        <v>0</v>
      </c>
      <c r="M48" s="718">
        <f>+landbouw!L12</f>
        <v>0</v>
      </c>
      <c r="N48" s="718">
        <f>+landbouw!M12</f>
        <v>0</v>
      </c>
      <c r="O48" s="718">
        <f>+landbouw!N12</f>
        <v>0</v>
      </c>
      <c r="P48" s="718">
        <f>+landbouw!O12</f>
        <v>0</v>
      </c>
      <c r="Q48" s="719">
        <f>+landbouw!P12</f>
        <v>0</v>
      </c>
      <c r="R48" s="761">
        <f ca="1">SUM(C48:Q48)</f>
        <v>755.29410142296786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21881.10676332466</v>
      </c>
      <c r="D53" s="773">
        <f t="shared" ref="D53:Q53" ca="1" si="6">D41+D46+D48</f>
        <v>0</v>
      </c>
      <c r="E53" s="773">
        <f t="shared" ca="1" si="6"/>
        <v>21527.682423610229</v>
      </c>
      <c r="F53" s="773">
        <f t="shared" si="6"/>
        <v>752.30055702999016</v>
      </c>
      <c r="G53" s="773">
        <f t="shared" ca="1" si="6"/>
        <v>9205.6655059453169</v>
      </c>
      <c r="H53" s="773">
        <f t="shared" si="6"/>
        <v>7670.9269952462</v>
      </c>
      <c r="I53" s="773">
        <f t="shared" si="6"/>
        <v>1336.1856982543823</v>
      </c>
      <c r="J53" s="773">
        <f t="shared" si="6"/>
        <v>0</v>
      </c>
      <c r="K53" s="773">
        <f t="shared" si="6"/>
        <v>51.00358095367001</v>
      </c>
      <c r="L53" s="773">
        <f t="shared" si="6"/>
        <v>0</v>
      </c>
      <c r="M53" s="773">
        <f t="shared" ca="1" si="6"/>
        <v>0</v>
      </c>
      <c r="N53" s="773">
        <f t="shared" si="6"/>
        <v>0</v>
      </c>
      <c r="O53" s="773">
        <f t="shared" ca="1" si="6"/>
        <v>0</v>
      </c>
      <c r="P53" s="773">
        <f>P41+P46+P48</f>
        <v>0</v>
      </c>
      <c r="Q53" s="774">
        <f t="shared" si="6"/>
        <v>0</v>
      </c>
      <c r="R53" s="775">
        <f ca="1">R41+R46+R48</f>
        <v>62424.871524364447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0.19351141747726108</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12169.807208050885</v>
      </c>
      <c r="C64" s="795">
        <f>'lokale energieproductie'!B4</f>
        <v>12169.807208050885</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1894.6430977666409</v>
      </c>
      <c r="C66" s="795">
        <f>'lokale energieproductie'!B6</f>
        <v>1894.6430977666409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14064.450305817525</v>
      </c>
      <c r="C69" s="803">
        <f>SUM(C64:C68)</f>
        <v>14064.450305817525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19646.02610099196</v>
      </c>
      <c r="C4" s="478">
        <f>huishoudens!C8</f>
        <v>0</v>
      </c>
      <c r="D4" s="478">
        <f>huishoudens!D8</f>
        <v>23839.366312850001</v>
      </c>
      <c r="E4" s="478">
        <f>huishoudens!E8</f>
        <v>2034.9986070321195</v>
      </c>
      <c r="F4" s="478">
        <f>huishoudens!F8</f>
        <v>22867.019597463513</v>
      </c>
      <c r="G4" s="478">
        <f>huishoudens!G8</f>
        <v>0</v>
      </c>
      <c r="H4" s="478">
        <f>huishoudens!H8</f>
        <v>0</v>
      </c>
      <c r="I4" s="478">
        <f>huishoudens!I8</f>
        <v>0</v>
      </c>
      <c r="J4" s="478">
        <f>huishoudens!J8</f>
        <v>0</v>
      </c>
      <c r="K4" s="478">
        <f>huishoudens!K8</f>
        <v>0</v>
      </c>
      <c r="L4" s="478">
        <f>huishoudens!L8</f>
        <v>0</v>
      </c>
      <c r="M4" s="478">
        <f>huishoudens!M8</f>
        <v>0</v>
      </c>
      <c r="N4" s="478">
        <f>huishoudens!N8</f>
        <v>6550.1343096280061</v>
      </c>
      <c r="O4" s="478">
        <f>huishoudens!O8</f>
        <v>248.57000000000002</v>
      </c>
      <c r="P4" s="479">
        <f>huishoudens!P8</f>
        <v>133.46666666666667</v>
      </c>
      <c r="Q4" s="480">
        <f>SUM(B4:P4)</f>
        <v>75319.581594632269</v>
      </c>
    </row>
    <row r="5" spans="1:17">
      <c r="A5" s="477" t="s">
        <v>156</v>
      </c>
      <c r="B5" s="478">
        <f ca="1">tertiair!B16</f>
        <v>13481.932911309999</v>
      </c>
      <c r="C5" s="478">
        <f ca="1">tertiair!C16</f>
        <v>0</v>
      </c>
      <c r="D5" s="478">
        <f ca="1">tertiair!D16</f>
        <v>8903.3424002399806</v>
      </c>
      <c r="E5" s="478">
        <f>tertiair!E16</f>
        <v>269.92145123372831</v>
      </c>
      <c r="F5" s="478">
        <f ca="1">tertiair!F16</f>
        <v>3378.1336987701629</v>
      </c>
      <c r="G5" s="478">
        <f>tertiair!G16</f>
        <v>0</v>
      </c>
      <c r="H5" s="478">
        <f>tertiair!H16</f>
        <v>0</v>
      </c>
      <c r="I5" s="478">
        <f>tertiair!I16</f>
        <v>0</v>
      </c>
      <c r="J5" s="478">
        <f>tertiair!J16</f>
        <v>0</v>
      </c>
      <c r="K5" s="478">
        <f>tertiair!K16</f>
        <v>0</v>
      </c>
      <c r="L5" s="478">
        <f ca="1">tertiair!L16</f>
        <v>0</v>
      </c>
      <c r="M5" s="478">
        <f>tertiair!M16</f>
        <v>0</v>
      </c>
      <c r="N5" s="478">
        <f ca="1">tertiair!N16</f>
        <v>1223.3537553294855</v>
      </c>
      <c r="O5" s="478">
        <f>tertiair!O16</f>
        <v>4.6900000000000004</v>
      </c>
      <c r="P5" s="479">
        <f>tertiair!P16</f>
        <v>0</v>
      </c>
      <c r="Q5" s="477">
        <f t="shared" ref="Q5:Q13" ca="1" si="0">SUM(B5:P5)</f>
        <v>27261.374216883352</v>
      </c>
    </row>
    <row r="6" spans="1:17">
      <c r="A6" s="477" t="s">
        <v>194</v>
      </c>
      <c r="B6" s="478">
        <f>'openbare verlichting'!B8</f>
        <v>631.46400000000006</v>
      </c>
      <c r="C6" s="478"/>
      <c r="D6" s="478"/>
      <c r="E6" s="478"/>
      <c r="F6" s="478"/>
      <c r="G6" s="478"/>
      <c r="H6" s="478"/>
      <c r="I6" s="478"/>
      <c r="J6" s="478"/>
      <c r="K6" s="478"/>
      <c r="L6" s="478"/>
      <c r="M6" s="478"/>
      <c r="N6" s="478"/>
      <c r="O6" s="478"/>
      <c r="P6" s="479"/>
      <c r="Q6" s="477">
        <f t="shared" si="0"/>
        <v>631.46400000000006</v>
      </c>
    </row>
    <row r="7" spans="1:17">
      <c r="A7" s="477" t="s">
        <v>112</v>
      </c>
      <c r="B7" s="478">
        <f>landbouw!B8</f>
        <v>487.37085208299999</v>
      </c>
      <c r="C7" s="478">
        <f>landbouw!C8</f>
        <v>0</v>
      </c>
      <c r="D7" s="478">
        <f>landbouw!D8</f>
        <v>780.44018088480402</v>
      </c>
      <c r="E7" s="478">
        <f>landbouw!E8</f>
        <v>12.567422987497048</v>
      </c>
      <c r="F7" s="478">
        <f>landbouw!F8</f>
        <v>1781.4332796334438</v>
      </c>
      <c r="G7" s="478">
        <f>landbouw!G8</f>
        <v>0</v>
      </c>
      <c r="H7" s="478">
        <f>landbouw!H8</f>
        <v>0</v>
      </c>
      <c r="I7" s="478">
        <f>landbouw!I8</f>
        <v>0</v>
      </c>
      <c r="J7" s="478">
        <f>landbouw!J8</f>
        <v>70.163473955548511</v>
      </c>
      <c r="K7" s="478">
        <f>landbouw!K8</f>
        <v>0</v>
      </c>
      <c r="L7" s="478">
        <f>landbouw!L8</f>
        <v>0</v>
      </c>
      <c r="M7" s="478">
        <f>landbouw!M8</f>
        <v>0</v>
      </c>
      <c r="N7" s="478">
        <f>landbouw!N8</f>
        <v>0</v>
      </c>
      <c r="O7" s="478">
        <f>landbouw!O8</f>
        <v>0</v>
      </c>
      <c r="P7" s="479">
        <f>landbouw!P8</f>
        <v>0</v>
      </c>
      <c r="Q7" s="477">
        <f t="shared" si="0"/>
        <v>3131.9752095442936</v>
      </c>
    </row>
    <row r="8" spans="1:17">
      <c r="A8" s="477" t="s">
        <v>638</v>
      </c>
      <c r="B8" s="478">
        <f>industrie!B18</f>
        <v>78817.764305028002</v>
      </c>
      <c r="C8" s="478">
        <f>industrie!C18</f>
        <v>0</v>
      </c>
      <c r="D8" s="478">
        <f>industrie!D18</f>
        <v>73029.645260092904</v>
      </c>
      <c r="E8" s="478">
        <f>industrie!E18</f>
        <v>919.12409917124262</v>
      </c>
      <c r="F8" s="478">
        <f>industrie!F18</f>
        <v>6451.5613864748902</v>
      </c>
      <c r="G8" s="478">
        <f>industrie!G18</f>
        <v>0</v>
      </c>
      <c r="H8" s="478">
        <f>industrie!H18</f>
        <v>0</v>
      </c>
      <c r="I8" s="478">
        <f>industrie!I18</f>
        <v>0</v>
      </c>
      <c r="J8" s="478">
        <f>industrie!J18</f>
        <v>73.914438342954355</v>
      </c>
      <c r="K8" s="478">
        <f>industrie!K18</f>
        <v>0</v>
      </c>
      <c r="L8" s="478">
        <f>industrie!L18</f>
        <v>0</v>
      </c>
      <c r="M8" s="478">
        <f>industrie!M18</f>
        <v>0</v>
      </c>
      <c r="N8" s="478">
        <f>industrie!N18</f>
        <v>2291.6230738623599</v>
      </c>
      <c r="O8" s="478">
        <f>industrie!O18</f>
        <v>0</v>
      </c>
      <c r="P8" s="479">
        <f>industrie!P18</f>
        <v>0</v>
      </c>
      <c r="Q8" s="477">
        <f t="shared" si="0"/>
        <v>161583.6325629724</v>
      </c>
    </row>
    <row r="9" spans="1:17" s="483" customFormat="1">
      <c r="A9" s="481" t="s">
        <v>564</v>
      </c>
      <c r="B9" s="482">
        <f>transport!B14</f>
        <v>9.4250021269973914</v>
      </c>
      <c r="C9" s="482">
        <f>transport!C14</f>
        <v>0</v>
      </c>
      <c r="D9" s="482">
        <f>transport!D14</f>
        <v>19.891111329467595</v>
      </c>
      <c r="E9" s="482">
        <f>transport!E14</f>
        <v>77.487789751580337</v>
      </c>
      <c r="F9" s="482">
        <f>transport!F14</f>
        <v>0</v>
      </c>
      <c r="G9" s="482">
        <f>transport!G14</f>
        <v>27727.135875089061</v>
      </c>
      <c r="H9" s="482">
        <f>transport!H14</f>
        <v>5366.2076235115755</v>
      </c>
      <c r="I9" s="482">
        <f>transport!I14</f>
        <v>0</v>
      </c>
      <c r="J9" s="482">
        <f>transport!J14</f>
        <v>0</v>
      </c>
      <c r="K9" s="482">
        <f>transport!K14</f>
        <v>0</v>
      </c>
      <c r="L9" s="482">
        <f>transport!L14</f>
        <v>0</v>
      </c>
      <c r="M9" s="482">
        <f>transport!M14</f>
        <v>1034.32085254971</v>
      </c>
      <c r="N9" s="482">
        <f>transport!N14</f>
        <v>0</v>
      </c>
      <c r="O9" s="482">
        <f>transport!O14</f>
        <v>0</v>
      </c>
      <c r="P9" s="482">
        <f>transport!P14</f>
        <v>0</v>
      </c>
      <c r="Q9" s="481">
        <f>SUM(B9:P9)</f>
        <v>34234.468254358391</v>
      </c>
    </row>
    <row r="10" spans="1:17">
      <c r="A10" s="477" t="s">
        <v>554</v>
      </c>
      <c r="B10" s="478">
        <f>transport!B54</f>
        <v>0</v>
      </c>
      <c r="C10" s="478">
        <f>transport!C54</f>
        <v>0</v>
      </c>
      <c r="D10" s="478">
        <f>transport!D54</f>
        <v>0</v>
      </c>
      <c r="E10" s="478">
        <f>transport!E54</f>
        <v>0</v>
      </c>
      <c r="F10" s="478">
        <f>transport!F54</f>
        <v>0</v>
      </c>
      <c r="G10" s="478">
        <f>transport!G54</f>
        <v>1002.9277775184289</v>
      </c>
      <c r="H10" s="478">
        <f>transport!H54</f>
        <v>0</v>
      </c>
      <c r="I10" s="478">
        <f>transport!I54</f>
        <v>0</v>
      </c>
      <c r="J10" s="478">
        <f>transport!J54</f>
        <v>0</v>
      </c>
      <c r="K10" s="478">
        <f>transport!K54</f>
        <v>0</v>
      </c>
      <c r="L10" s="478">
        <f>transport!L54</f>
        <v>0</v>
      </c>
      <c r="M10" s="478">
        <f>transport!M54</f>
        <v>31.108575926562107</v>
      </c>
      <c r="N10" s="478">
        <f>transport!N54</f>
        <v>0</v>
      </c>
      <c r="O10" s="478">
        <f>transport!O54</f>
        <v>0</v>
      </c>
      <c r="P10" s="479">
        <f>transport!P54</f>
        <v>0</v>
      </c>
      <c r="Q10" s="477">
        <f t="shared" si="0"/>
        <v>1034.0363534449909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113073.98317153995</v>
      </c>
      <c r="C14" s="488">
        <f t="shared" ref="C14:Q14" ca="1" si="1">SUM(C4:C13)</f>
        <v>0</v>
      </c>
      <c r="D14" s="488">
        <f t="shared" ca="1" si="1"/>
        <v>106572.68526539717</v>
      </c>
      <c r="E14" s="488">
        <f t="shared" si="1"/>
        <v>3314.0993701761677</v>
      </c>
      <c r="F14" s="488">
        <f t="shared" ca="1" si="1"/>
        <v>34478.147962342009</v>
      </c>
      <c r="G14" s="488">
        <f t="shared" si="1"/>
        <v>28730.063652607489</v>
      </c>
      <c r="H14" s="488">
        <f t="shared" si="1"/>
        <v>5366.2076235115755</v>
      </c>
      <c r="I14" s="488">
        <f t="shared" si="1"/>
        <v>0</v>
      </c>
      <c r="J14" s="488">
        <f t="shared" si="1"/>
        <v>144.07791229850287</v>
      </c>
      <c r="K14" s="488">
        <f t="shared" si="1"/>
        <v>0</v>
      </c>
      <c r="L14" s="488">
        <f t="shared" ca="1" si="1"/>
        <v>0</v>
      </c>
      <c r="M14" s="488">
        <f t="shared" si="1"/>
        <v>1065.4294284762721</v>
      </c>
      <c r="N14" s="488">
        <f t="shared" ca="1" si="1"/>
        <v>10065.111138819851</v>
      </c>
      <c r="O14" s="488">
        <f t="shared" si="1"/>
        <v>253.26000000000002</v>
      </c>
      <c r="P14" s="489">
        <f t="shared" si="1"/>
        <v>133.46666666666667</v>
      </c>
      <c r="Q14" s="489">
        <f t="shared" ca="1" si="1"/>
        <v>303196.53219183569</v>
      </c>
    </row>
    <row r="16" spans="1:17">
      <c r="A16" s="491" t="s">
        <v>559</v>
      </c>
      <c r="B16" s="841">
        <f ca="1">huishoudens!B10</f>
        <v>0.19351141747726106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3801.7303585982222</v>
      </c>
      <c r="C21" s="478">
        <f t="shared" ref="C21:C30" ca="1" si="3">C4*$C$16</f>
        <v>0</v>
      </c>
      <c r="D21" s="478">
        <f t="shared" ref="D21:D30" si="4">D4*$D$16</f>
        <v>4815.5519951957003</v>
      </c>
      <c r="E21" s="478">
        <f t="shared" ref="E21:E30" si="5">E4*$E$16</f>
        <v>461.94468379629114</v>
      </c>
      <c r="F21" s="478">
        <f t="shared" ref="F21:F30" si="6">F4*$F$16</f>
        <v>6105.4942325227585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15184.721270112972</v>
      </c>
    </row>
    <row r="22" spans="1:17">
      <c r="A22" s="477" t="s">
        <v>156</v>
      </c>
      <c r="B22" s="478">
        <f t="shared" ca="1" si="2"/>
        <v>2608.907948000935</v>
      </c>
      <c r="C22" s="478">
        <f t="shared" ca="1" si="3"/>
        <v>0</v>
      </c>
      <c r="D22" s="478">
        <f t="shared" ca="1" si="4"/>
        <v>1798.4751648484762</v>
      </c>
      <c r="E22" s="478">
        <f t="shared" si="5"/>
        <v>61.27216943005633</v>
      </c>
      <c r="F22" s="478">
        <f t="shared" ca="1" si="6"/>
        <v>901.96169757163352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5370.616979851101</v>
      </c>
    </row>
    <row r="23" spans="1:17">
      <c r="A23" s="477" t="s">
        <v>194</v>
      </c>
      <c r="B23" s="478">
        <f t="shared" ca="1" si="2"/>
        <v>122.19549372586118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122.19549372586118</v>
      </c>
    </row>
    <row r="24" spans="1:17">
      <c r="A24" s="477" t="s">
        <v>112</v>
      </c>
      <c r="B24" s="478">
        <f t="shared" ca="1" si="2"/>
        <v>94.311824423681855</v>
      </c>
      <c r="C24" s="478">
        <f t="shared" ca="1" si="3"/>
        <v>0</v>
      </c>
      <c r="D24" s="478">
        <f t="shared" si="4"/>
        <v>157.64891653873042</v>
      </c>
      <c r="E24" s="478">
        <f t="shared" si="5"/>
        <v>2.8528050181618299</v>
      </c>
      <c r="F24" s="478">
        <f t="shared" si="6"/>
        <v>475.64268566212951</v>
      </c>
      <c r="G24" s="478">
        <f t="shared" si="7"/>
        <v>0</v>
      </c>
      <c r="H24" s="478">
        <f t="shared" si="8"/>
        <v>0</v>
      </c>
      <c r="I24" s="478">
        <f t="shared" si="9"/>
        <v>0</v>
      </c>
      <c r="J24" s="478">
        <f t="shared" si="10"/>
        <v>24.837869780264171</v>
      </c>
      <c r="K24" s="478">
        <f t="shared" si="11"/>
        <v>0</v>
      </c>
      <c r="L24" s="478">
        <f t="shared" si="12"/>
        <v>0</v>
      </c>
      <c r="M24" s="478">
        <f t="shared" si="13"/>
        <v>0</v>
      </c>
      <c r="N24" s="478">
        <f t="shared" si="14"/>
        <v>0</v>
      </c>
      <c r="O24" s="478">
        <f t="shared" si="15"/>
        <v>0</v>
      </c>
      <c r="P24" s="479">
        <f t="shared" si="16"/>
        <v>0</v>
      </c>
      <c r="Q24" s="477">
        <f t="shared" ca="1" si="17"/>
        <v>755.29410142296786</v>
      </c>
    </row>
    <row r="25" spans="1:17">
      <c r="A25" s="477" t="s">
        <v>638</v>
      </c>
      <c r="B25" s="478">
        <f t="shared" ca="1" si="2"/>
        <v>15252.137293054639</v>
      </c>
      <c r="C25" s="478">
        <f t="shared" ca="1" si="3"/>
        <v>0</v>
      </c>
      <c r="D25" s="478">
        <f t="shared" si="4"/>
        <v>14751.988342538767</v>
      </c>
      <c r="E25" s="478">
        <f t="shared" si="5"/>
        <v>208.64117051187208</v>
      </c>
      <c r="F25" s="478">
        <f t="shared" si="6"/>
        <v>1722.5668901887957</v>
      </c>
      <c r="G25" s="478">
        <f t="shared" si="7"/>
        <v>0</v>
      </c>
      <c r="H25" s="478">
        <f t="shared" si="8"/>
        <v>0</v>
      </c>
      <c r="I25" s="478">
        <f t="shared" si="9"/>
        <v>0</v>
      </c>
      <c r="J25" s="478">
        <f t="shared" si="10"/>
        <v>26.165711173405839</v>
      </c>
      <c r="K25" s="478">
        <f t="shared" si="11"/>
        <v>0</v>
      </c>
      <c r="L25" s="478">
        <f t="shared" si="12"/>
        <v>0</v>
      </c>
      <c r="M25" s="478">
        <f t="shared" si="13"/>
        <v>0</v>
      </c>
      <c r="N25" s="478">
        <f t="shared" si="14"/>
        <v>0</v>
      </c>
      <c r="O25" s="478">
        <f t="shared" si="15"/>
        <v>0</v>
      </c>
      <c r="P25" s="479">
        <f t="shared" si="16"/>
        <v>0</v>
      </c>
      <c r="Q25" s="477">
        <f t="shared" ca="1" si="17"/>
        <v>31961.49940746748</v>
      </c>
    </row>
    <row r="26" spans="1:17" s="483" customFormat="1">
      <c r="A26" s="481" t="s">
        <v>564</v>
      </c>
      <c r="B26" s="835">
        <f t="shared" ca="1" si="2"/>
        <v>1.8238455213214657</v>
      </c>
      <c r="C26" s="482">
        <f t="shared" ca="1" si="3"/>
        <v>0</v>
      </c>
      <c r="D26" s="482">
        <f t="shared" si="4"/>
        <v>4.0180044885524548</v>
      </c>
      <c r="E26" s="482">
        <f t="shared" si="5"/>
        <v>17.589728273608738</v>
      </c>
      <c r="F26" s="482">
        <f t="shared" si="6"/>
        <v>0</v>
      </c>
      <c r="G26" s="482">
        <f t="shared" si="7"/>
        <v>7403.1452786487798</v>
      </c>
      <c r="H26" s="482">
        <f t="shared" si="8"/>
        <v>1336.1856982543823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8762.762555186644</v>
      </c>
    </row>
    <row r="27" spans="1:17">
      <c r="A27" s="477" t="s">
        <v>554</v>
      </c>
      <c r="B27" s="478">
        <f t="shared" ca="1" si="2"/>
        <v>0</v>
      </c>
      <c r="C27" s="478">
        <f t="shared" ca="1" si="3"/>
        <v>0</v>
      </c>
      <c r="D27" s="478">
        <f t="shared" si="4"/>
        <v>0</v>
      </c>
      <c r="E27" s="478">
        <f t="shared" si="5"/>
        <v>0</v>
      </c>
      <c r="F27" s="478">
        <f t="shared" si="6"/>
        <v>0</v>
      </c>
      <c r="G27" s="478">
        <f t="shared" si="7"/>
        <v>267.78171659742054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267.78171659742054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21881.10676332466</v>
      </c>
      <c r="C31" s="488">
        <f t="shared" ca="1" si="18"/>
        <v>0</v>
      </c>
      <c r="D31" s="488">
        <f t="shared" ca="1" si="18"/>
        <v>21527.682423610226</v>
      </c>
      <c r="E31" s="488">
        <f t="shared" si="18"/>
        <v>752.30055702999005</v>
      </c>
      <c r="F31" s="488">
        <f t="shared" ca="1" si="18"/>
        <v>9205.6655059453169</v>
      </c>
      <c r="G31" s="488">
        <f t="shared" si="18"/>
        <v>7670.9269952462</v>
      </c>
      <c r="H31" s="488">
        <f t="shared" si="18"/>
        <v>1336.1856982543823</v>
      </c>
      <c r="I31" s="488">
        <f t="shared" si="18"/>
        <v>0</v>
      </c>
      <c r="J31" s="488">
        <f t="shared" si="18"/>
        <v>51.00358095367001</v>
      </c>
      <c r="K31" s="488">
        <f t="shared" si="18"/>
        <v>0</v>
      </c>
      <c r="L31" s="488">
        <f t="shared" ca="1" si="18"/>
        <v>0</v>
      </c>
      <c r="M31" s="488">
        <f t="shared" si="18"/>
        <v>0</v>
      </c>
      <c r="N31" s="488">
        <f t="shared" ca="1" si="18"/>
        <v>0</v>
      </c>
      <c r="O31" s="488">
        <f t="shared" si="18"/>
        <v>0</v>
      </c>
      <c r="P31" s="489">
        <f t="shared" si="18"/>
        <v>0</v>
      </c>
      <c r="Q31" s="489">
        <f t="shared" ca="1" si="18"/>
        <v>62424.87152436444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0.19351141747726106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0.19351141747726106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0.19351141747726106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2018-06-27T09:42:43Z</dcterms:modified>
</cp:coreProperties>
</file>