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L8" i="48" s="1"/>
  <c r="F16" i="16"/>
  <c r="C13" i="15"/>
  <c r="C16" s="1"/>
  <c r="D10" i="14" s="1"/>
  <c r="L6" i="17"/>
  <c r="L5" s="1"/>
  <c r="B8" i="9"/>
  <c r="B6" i="48" s="1"/>
  <c r="Q6" s="1"/>
  <c r="I8" i="18"/>
  <c r="J68" i="14" s="1"/>
  <c r="I14" i="15"/>
  <c r="I16" s="1"/>
  <c r="J10" i="14" s="1"/>
  <c r="J15" s="1"/>
  <c r="B13" i="16"/>
  <c r="C35"/>
  <c r="E9" i="14"/>
  <c r="D14" i="15"/>
  <c r="P22" i="16"/>
  <c r="Q39" i="14" s="1"/>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2" i="17"/>
  <c r="K48" i="14" s="1"/>
  <c r="J7" i="48"/>
  <c r="J24" s="1"/>
  <c r="I5"/>
  <c r="I22" s="1"/>
  <c r="I31" s="1"/>
  <c r="L22" i="16"/>
  <c r="M39" i="14" s="1"/>
  <c r="M13"/>
  <c r="E8" i="17"/>
  <c r="F22" i="14" s="1"/>
  <c r="O18" i="16"/>
  <c r="O22" s="1"/>
  <c r="P39" i="14" s="1"/>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C50" i="13"/>
  <c r="J5" s="1"/>
  <c r="J8" s="1"/>
  <c r="E12" i="17"/>
  <c r="F48" i="14" s="1"/>
  <c r="C5" i="48"/>
  <c r="P41" i="14" l="1"/>
  <c r="P53" s="1"/>
  <c r="N7" i="48"/>
  <c r="N24" s="1"/>
  <c r="G14" i="22"/>
  <c r="H14"/>
  <c r="I19" i="14" s="1"/>
  <c r="I20" s="1"/>
  <c r="I23" s="1"/>
  <c r="I14" i="48"/>
  <c r="P13" i="14"/>
  <c r="P15" s="1"/>
  <c r="P23" s="1"/>
  <c r="P55" s="1"/>
  <c r="E7" i="48"/>
  <c r="E24" s="1"/>
  <c r="D8"/>
  <c r="D25" s="1"/>
  <c r="E20" i="15"/>
  <c r="F36" i="14" s="1"/>
  <c r="E16" i="15"/>
  <c r="F10" i="14" s="1"/>
  <c r="J16" i="15"/>
  <c r="K10" i="14" s="1"/>
  <c r="O22"/>
  <c r="L7" i="48"/>
  <c r="L24" s="1"/>
  <c r="M22" i="14"/>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M18" i="22"/>
  <c r="N45" i="14" s="1"/>
  <c r="M9" i="48"/>
  <c r="N19" i="14"/>
  <c r="E5" i="48"/>
  <c r="E22" s="1"/>
  <c r="P14"/>
  <c r="B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J20" i="15"/>
  <c r="K36" i="14" s="1"/>
  <c r="M16" i="18"/>
  <c r="M19" s="1"/>
  <c r="N20" i="14"/>
  <c r="N23" s="1"/>
  <c r="J18" i="16"/>
  <c r="J22" s="1"/>
  <c r="K39" i="14"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F8" i="48"/>
  <c r="Q4"/>
  <c r="N22"/>
  <c r="R11" i="14"/>
  <c r="J21" i="48"/>
  <c r="R10" i="14"/>
  <c r="Q5" i="48" l="1"/>
  <c r="K41" i="14"/>
  <c r="K53" s="1"/>
  <c r="K55" s="1"/>
  <c r="J8" i="48"/>
  <c r="J25" s="1"/>
  <c r="J31" s="1"/>
  <c r="N25"/>
  <c r="N31" s="1"/>
  <c r="N14"/>
  <c r="E25"/>
  <c r="E31" s="1"/>
  <c r="E14"/>
  <c r="K13" i="14"/>
  <c r="K15" s="1"/>
  <c r="K23" s="1"/>
  <c r="H55"/>
  <c r="E55"/>
  <c r="C78"/>
  <c r="C81" s="1"/>
  <c r="R19"/>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J14" l="1"/>
  <c r="Q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<sst xmlns="http://schemas.openxmlformats.org/spreadsheetml/2006/main" count="1924" uniqueCount="818">
  <si>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</si>
  <si>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</si>
  <si>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</si>
  <si>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</si>
  <si>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</si>
  <si>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</si>
  <si>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</si>
  <si>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</si>
  <si>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</si>
  <si>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</si>
  <si>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</si>
  <si>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</si>
  <si>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</si>
  <si>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</si>
  <si>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</si>
  <si>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</si>
  <si>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</si>
  <si>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</si>
  <si>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</si>
  <si>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</si>
  <si>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</si>
  <si>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</si>
  <si>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</si>
  <si>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</si>
  <si>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</si>
  <si>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</si>
  <si>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</si>
  <si>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</si>
  <si>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</si>
  <si>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</si>
  <si>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</si>
  <si>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</si>
  <si>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</si>
  <si>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</si>
  <si>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</si>
  <si>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</si>
  <si>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</si>
  <si>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</si>
  <si>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</si>
  <si>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</si>
  <si>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</si>
  <si>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</si>
  <si>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</si>
  <si>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</si>
  <si>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</si>
  <si>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</si>
  <si>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</si>
  <si>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</si>
  <si>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</si>
  <si>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</si>
  <si>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</si>
  <si>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</si>
  <si>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</si>
  <si>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</si>
  <si>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</si>
  <si>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</si>
  <si>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</si>
  <si>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</si>
  <si>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</si>
  <si>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</si>
  <si>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</si>
  <si>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</si>
  <si>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</si>
  <si>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</si>
  <si>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</si>
  <si>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</si>
  <si>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</si>
  <si>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</si>
  <si>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</si>
  <si>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</si>
  <si>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</si>
  <si>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</si>
  <si>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</si>
  <si>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</si>
  <si>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</si>
  <si>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</si>
  <si>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</si>
  <si>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</si>
  <si>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</si>
  <si>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</si>
  <si>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</si>
  <si>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</si>
  <si>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</si>
  <si>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</si>
  <si>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</si>
  <si>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</si>
  <si>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</si>
  <si>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</si>
  <si>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</si>
  <si>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</si>
  <si>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</si>
  <si>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</si>
  <si>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</si>
  <si>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</si>
  <si>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</si>
  <si>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</si>
  <si>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</si>
  <si>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</si>
  <si>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</si>
  <si>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</si>
  <si>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</si>
  <si>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</si>
  <si>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</si>
  <si>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</si>
  <si>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</si>
  <si>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</si>
  <si>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</si>
  <si>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</si>
  <si>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</si>
  <si>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</si>
  <si>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</si>
  <si>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</si>
  <si>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</si>
  <si>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</si>
  <si>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</si>
  <si>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</si>
  <si>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</si>
  <si>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</si>
  <si>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</si>
  <si>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</si>
  <si>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</si>
  <si>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</si>
  <si>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</si>
  <si>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</si>
  <si>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</si>
  <si>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</si>
  <si>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</si>
  <si>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</si>
  <si>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</si>
  <si>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</si>
  <si>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</si>
  <si>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</si>
  <si>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</si>
  <si>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</si>
  <si>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</si>
  <si>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</si>
  <si>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</si>
  <si>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</si>
  <si>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</si>
  <si>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</si>
  <si>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</si>
  <si>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</si>
  <si>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</si>
  <si>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</si>
  <si>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</si>
  <si>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</si>
  <si>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</si>
  <si>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</si>
  <si>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</si>
  <si>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</si>
  <si>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</si>
  <si>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</si>
  <si>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</si>
  <si>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</si>
  <si>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</si>
  <si>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</si>
  <si>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</si>
  <si>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</si>
  <si>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</si>
  <si>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</si>
  <si>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</si>
  <si>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</si>
  <si>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</si>
  <si>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</si>
  <si>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</si>
  <si>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</si>
  <si>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</si>
  <si>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</si>
  <si>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</si>
  <si>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</si>
  <si>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</si>
  <si>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</si>
  <si>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</si>
  <si>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</si>
  <si>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</si>
  <si>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</si>
  <si>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</si>
  <si>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</si>
  <si>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</si>
  <si>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</si>
  <si>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</si>
  <si>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</si>
  <si>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</si>
  <si>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</si>
  <si>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</si>
  <si>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</si>
  <si>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</si>
  <si>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</si>
  <si>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</si>
  <si>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</si>
  <si>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</si>
  <si>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</si>
  <si>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</si>
  <si>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</si>
  <si>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</si>
  <si>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</si>
  <si>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</si>
  <si>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</si>
  <si>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</si>
  <si>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</si>
  <si>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</si>
  <si>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</si>
  <si>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</si>
  <si>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</si>
  <si>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</si>
  <si>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</si>
  <si>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</si>
  <si>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</si>
  <si>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</si>
  <si>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</si>
  <si>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</si>
  <si>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</si>
  <si>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</si>
  <si>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</si>
  <si>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</si>
  <si>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</si>
  <si>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</si>
  <si>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</si>
  <si>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</si>
  <si>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</si>
  <si>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</si>
  <si>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</si>
  <si>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</si>
  <si>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</si>
  <si>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</si>
  <si>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</si>
  <si>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</si>
  <si>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</si>
  <si>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</si>
  <si>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</si>
  <si>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</si>
  <si>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</si>
  <si>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</si>
  <si>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</si>
  <si>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</si>
  <si>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</si>
  <si>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</si>
  <si>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</si>
  <si>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</si>
  <si>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</si>
  <si>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</si>
  <si>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</si>
  <si>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</si>
  <si>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</si>
  <si>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</si>
  <si>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</si>
  <si>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</si>
  <si>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</si>
  <si>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</si>
  <si>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</si>
  <si>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</si>
  <si>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</si>
  <si>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</si>
  <si>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</si>
  <si>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</si>
  <si>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</si>
  <si>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</si>
  <si>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</si>
  <si>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</si>
  <si>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</si>
  <si>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</si>
  <si>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</si>
  <si>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</si>
  <si>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</si>
  <si>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</si>
  <si>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</si>
  <si>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</si>
  <si>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</si>
  <si>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</si>
  <si>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</si>
  <si>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</si>
  <si>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</si>
  <si>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</si>
  <si>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</si>
  <si>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</si>
  <si>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</si>
  <si>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</si>
  <si>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</si>
  <si>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</si>
  <si>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</si>
  <si>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</si>
  <si>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</si>
  <si>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</si>
  <si>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</si>
  <si>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</si>
  <si>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</si>
  <si>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</si>
  <si>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</si>
  <si>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</si>
  <si>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</si>
  <si>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</si>
  <si>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</si>
  <si>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</si>
  <si>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</si>
  <si>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</si>
  <si>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</si>
  <si>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</si>
  <si>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</si>
  <si>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</si>
  <si>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</si>
  <si>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</si>
  <si>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</si>
  <si>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</si>
  <si>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</si>
  <si>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</si>
  <si>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</si>
  <si>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</si>
  <si>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</si>
  <si>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</si>
  <si>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</si>
  <si>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</si>
  <si>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</si>
  <si>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</si>
  <si>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</si>
  <si>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</si>
  <si>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</si>
  <si>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</si>
  <si>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</si>
  <si>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</si>
  <si>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</si>
  <si>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</si>
  <si>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</si>
  <si>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</si>
  <si>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</si>
  <si>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</si>
  <si>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</si>
  <si>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</si>
  <si>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</si>
  <si>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</si>
  <si>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</si>
  <si>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</si>
  <si>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</si>
  <si>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</si>
  <si>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</si>
  <si>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</si>
  <si>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</si>
  <si>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</si>
  <si>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</si>
  <si>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</si>
  <si>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</si>
  <si>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</si>
  <si>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</si>
  <si>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</si>
  <si>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</si>
  <si>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</si>
  <si>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</si>
  <si>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</si>
  <si>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</si>
  <si>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</si>
  <si>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</si>
  <si>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</si>
  <si>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</si>
  <si>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</si>
  <si>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</si>
  <si>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</si>
  <si>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</si>
  <si>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</si>
  <si>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</si>
  <si>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</si>
  <si>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</si>
  <si>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</si>
  <si>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</si>
  <si>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</si>
  <si>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</si>
  <si>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</si>
  <si>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</si>
  <si>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</si>
  <si>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</si>
  <si>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</si>
  <si>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</si>
  <si>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</si>
  <si>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</si>
  <si>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</si>
  <si>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</si>
  <si>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</si>
  <si>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</si>
  <si>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</si>
  <si>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</si>
  <si>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</si>
  <si>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</si>
  <si>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</si>
  <si>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</si>
  <si>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</si>
  <si>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</si>
  <si>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</si>
  <si>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</si>
  <si>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</si>
  <si>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</si>
  <si>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</si>
  <si>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</si>
  <si>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</si>
  <si>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</si>
  <si>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</si>
  <si>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</si>
  <si>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</si>
  <si>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</si>
  <si>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</si>
  <si>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</si>
  <si>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</si>
  <si>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</si>
  <si>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</si>
  <si>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</si>
  <si>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</si>
  <si>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</si>
  <si>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</si>
  <si>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</si>
  <si>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</si>
  <si>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</si>
  <si>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</si>
  <si>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</si>
  <si>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</si>
  <si>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</si>
  <si>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</si>
  <si>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</si>
  <si>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</si>
  <si>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</si>
  <si>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</si>
  <si>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</si>
  <si>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</si>
  <si>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</si>
  <si>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</si>
  <si>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</si>
  <si>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</si>
  <si>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</si>
  <si>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</si>
  <si>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</si>
  <si>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</si>
  <si>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</si>
  <si>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</si>
  <si>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</si>
  <si>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</si>
  <si>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</si>
  <si>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</si>
  <si>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</si>
  <si>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</si>
  <si>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</si>
  <si>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</si>
  <si>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</si>
  <si>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</si>
  <si>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</si>
  <si>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</si>
  <si>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</si>
  <si>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</si>
  <si>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</si>
  <si>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</si>
  <si>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</si>
  <si>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</si>
  <si>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</si>
  <si>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</si>
  <si>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</si>
  <si>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</si>
  <si>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</si>
  <si>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</si>
  <si>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</si>
  <si>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</si>
  <si>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</si>
  <si>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</si>
  <si>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</si>
  <si>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</si>
  <si>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</si>
  <si>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</si>
  <si>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</si>
  <si>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</si>
  <si>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</si>
  <si>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</si>
  <si>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</si>
  <si>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</si>
  <si>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</si>
  <si>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</si>
  <si>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</si>
  <si>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</si>
  <si>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</si>
  <si>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</si>
  <si>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</si>
  <si>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</si>
  <si>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</si>
  <si>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</si>
  <si>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</si>
  <si>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</si>
  <si>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</si>
  <si>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</si>
  <si>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</si>
  <si>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</si>
  <si>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</si>
  <si>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</si>
  <si>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</si>
  <si>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</si>
  <si>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</si>
  <si>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</si>
  <si>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</si>
  <si>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</si>
  <si>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</si>
  <si>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</si>
  <si>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</si>
  <si>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</si>
  <si>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</si>
  <si>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</si>
  <si>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</si>
  <si>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</si>
  <si>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</si>
  <si>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</si>
  <si>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</si>
  <si>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</si>
  <si>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</si>
  <si>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</si>
  <si>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</si>
  <si>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</si>
  <si>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</si>
  <si>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</si>
  <si>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</si>
  <si>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</si>
  <si>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</si>
  <si>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</si>
  <si>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</si>
  <si>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</si>
  <si>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</si>
  <si>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</si>
  <si>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</si>
  <si>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</si>
  <si>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</si>
  <si>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</si>
  <si>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</si>
  <si>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</si>
  <si>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</si>
  <si>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</si>
  <si>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</si>
  <si>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</si>
  <si>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</si>
  <si>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</si>
  <si>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</si>
  <si>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</si>
  <si>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</si>
  <si>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</si>
  <si>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</si>
  <si>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</si>
  <si>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</si>
  <si>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</si>
  <si>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</si>
  <si>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</si>
  <si>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</si>
  <si>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</si>
  <si>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</si>
  <si>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</si>
  <si>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</si>
  <si>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</si>
  <si>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</si>
  <si>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</si>
  <si>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</si>
  <si>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</si>
  <si>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</si>
  <si>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</si>
  <si>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</si>
  <si>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</si>
  <si>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</si>
  <si>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</si>
  <si>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</si>
  <si>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</si>
  <si>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</si>
  <si>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</si>
  <si>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</si>
  <si>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</si>
  <si>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</si>
  <si>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</si>
  <si>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</si>
  <si>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</si>
  <si>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</si>
  <si>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</si>
  <si>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</si>
  <si>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</si>
  <si>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</si>
  <si>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</si>
  <si>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</si>
  <si>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</si>
  <si>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</si>
  <si>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</si>
  <si>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</si>
  <si>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</si>
  <si>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</si>
  <si>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</si>
  <si>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</si>
  <si>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</si>
  <si>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</si>
  <si>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</si>
  <si>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</si>
  <si>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</si>
  <si>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</si>
  <si>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</si>
  <si>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</si>
  <si>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</si>
  <si>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</si>
  <si>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</si>
  <si>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</si>
  <si>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</si>
  <si>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</si>
  <si>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</si>
  <si>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</si>
  <si>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</si>
  <si>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</si>
  <si>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</si>
  <si>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</si>
  <si>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</si>
  <si>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</si>
  <si>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</si>
  <si>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</si>
  <si>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</si>
  <si>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</si>
  <si>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</si>
  <si>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</si>
  <si>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</si>
  <si>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</si>
  <si>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</si>
  <si>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</si>
  <si>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</si>
  <si>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</si>
  <si>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</si>
  <si>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</si>
  <si>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</si>
  <si>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</si>
  <si>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</si>
  <si>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</si>
  <si>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</si>
  <si>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</si>
  <si>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</si>
  <si>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</si>
  <si>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</si>
  <si>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</si>
  <si>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</si>
  <si>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</si>
  <si>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</si>
  <si>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</si>
  <si>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</si>
  <si>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</si>
  <si>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</si>
  <si>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</si>
  <si>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</si>
  <si>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</si>
  <si>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</si>
  <si>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</si>
  <si>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</si>
  <si>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</si>
  <si>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</si>
  <si>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</si>
  <si>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</si>
  <si>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</si>
  <si>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</si>
  <si>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</si>
  <si>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</si>
  <si>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</si>
  <si>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</si>
  <si>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</si>
  <si>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</si>
  <si>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</si>
  <si>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</si>
  <si>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</si>
  <si>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</si>
  <si>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</si>
  <si>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</si>
  <si>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</si>
  <si>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</si>
  <si>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</si>
  <si>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</si>
  <si>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</si>
  <si>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</si>
  <si>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</si>
  <si>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</si>
  <si>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</si>
  <si>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</si>
  <si>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</si>
  <si>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</si>
  <si>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</si>
  <si>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</si>
  <si>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</si>
  <si>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</si>
  <si>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</si>
  <si>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</si>
  <si>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</si>
  <si>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</si>
  <si>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</si>
  <si>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</si>
  <si>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</si>
  <si>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</si>
  <si>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</si>
  <si>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</si>
  <si>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</si>
  <si>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</si>
  <si>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</si>
  <si>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</si>
  <si>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</si>
  <si>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</si>
  <si>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</si>
  <si>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</si>
  <si>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</si>
  <si>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</si>
  <si>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</si>
  <si>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</si>
  <si>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</si>
  <si>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</si>
  <si>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</si>
  <si>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</si>
  <si>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</si>
  <si>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</si>
  <si>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</si>
  <si>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</si>
  <si>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</si>
  <si>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</si>
  <si>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</si>
  <si>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</si>
  <si>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</si>
  <si>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</si>
  <si>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</si>
  <si>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</si>
  <si>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</si>
  <si>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</si>
  <si>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</si>
  <si>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</si>
  <si>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</si>
  <si>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</si>
  <si>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</si>
  <si>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</si>
  <si>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</si>
  <si>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</si>
  <si>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</si>
  <si>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</si>
  <si>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</si>
  <si>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</si>
  <si>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</si>
  <si>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</si>
  <si>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</si>
  <si>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</si>
  <si>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</si>
  <si>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</si>
  <si>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</si>
  <si>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</si>
  <si>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</si>
  <si>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</si>
  <si>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</si>
  <si>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</si>
  <si>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</si>
  <si>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</si>
  <si>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</si>
  <si>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</si>
  <si>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</si>
  <si>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</si>
  <si>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</si>
  <si>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</si>
  <si>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</si>
  <si>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</si>
  <si>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</si>
  <si>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</si>
  <si>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</si>
  <si>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</si>
  <si>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</si>
  <si>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</si>
  <si>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</si>
  <si>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</si>
  <si>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</si>
  <si>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</si>
  <si>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</si>
  <si>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</si>
  <si>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</si>
  <si>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</si>
  <si>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</si>
  <si>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</si>
  <si>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</si>
  <si>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</si>
  <si>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</si>
  <si>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</si>
  <si>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</si>
  <si>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</si>
  <si>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</si>
  <si>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</si>
  <si>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</si>
  <si>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</si>
  <si>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</si>
  <si>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</si>
  <si>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</si>
  <si>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</si>
  <si>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</si>
  <si>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</si>
  <si>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</si>
  <si>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</si>
  <si>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</si>
  <si>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</si>
  <si>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</si>
  <si>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</si>
  <si>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</si>
  <si>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</si>
  <si>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</si>
  <si>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</si>
  <si>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</si>
  <si>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</si>
  <si>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</si>
  <si>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</si>
  <si>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</si>
  <si>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</si>
  <si>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</si>
  <si>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</si>
  <si>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</si>
  <si>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</si>
  <si>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</si>
  <si>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</si>
  <si>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</si>
  <si>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</si>
  <si>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</si>
  <si>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</si>
  <si>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</si>
  <si>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</si>
  <si>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</si>
  <si>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</si>
  <si>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</si>
  <si>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32010</t>
  </si>
  <si>
    <t>KOEKELARE</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</si>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</sst>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69877.030863554202</c:v>
                </c:pt>
                <c:pt idx="1">
                  <c:v>19638.348018537134</c:v>
                </c:pt>
                <c:pt idx="2">
                  <c:v>770.30200000000002</c:v>
                </c:pt>
                <c:pt idx="3">
                  <c:v>15565.655030905527</c:v>
                </c:pt>
                <c:pt idx="4">
                  <c:v>6333.467929107368</c:v>
                </c:pt>
                <c:pt idx="5">
                  <c:v>27015.576085294895</c:v>
                </c:pt>
                <c:pt idx="6">
                  <c:v>223.82189519493653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76896"/>
        <c:axId val="182978432"/>
      </c:barChart>
      <c:catAx>
        <c:axId val="182976896"/>
        <c:scaling>
          <c:orientation val="minMax"/>
        </c:scaling>
        <c:axPos val="b"/>
        <c:numFmt formatCode="General" sourceLinked="0"/>
        <c:tickLblPos val="nextTo"/>
        <c:crossAx val="182978432"/>
        <c:crosses val="autoZero"/>
        <c:auto val="1"/>
        <c:lblAlgn val="ctr"/>
        <c:lblOffset val="100"/>
      </c:catAx>
      <c:valAx>
        <c:axId val="182978432"/>
        <c:scaling>
          <c:orientation val="minMax"/>
        </c:scaling>
        <c:axPos val="l"/>
        <c:majorGridlines/>
        <c:numFmt formatCode="#,##0" sourceLinked="1"/>
        <c:tickLblPos val="nextTo"/>
        <c:crossAx val="1829768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69877.030863554202</c:v>
                </c:pt>
                <c:pt idx="1">
                  <c:v>19638.348018537134</c:v>
                </c:pt>
                <c:pt idx="2">
                  <c:v>770.30200000000002</c:v>
                </c:pt>
                <c:pt idx="3">
                  <c:v>15565.655030905527</c:v>
                </c:pt>
                <c:pt idx="4">
                  <c:v>6333.467929107368</c:v>
                </c:pt>
                <c:pt idx="5">
                  <c:v>27015.576085294895</c:v>
                </c:pt>
                <c:pt idx="6">
                  <c:v>223.82189519493653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12680.705561872806</c:v>
                </c:pt>
                <c:pt idx="1">
                  <c:v>3984.435833168091</c:v>
                </c:pt>
                <c:pt idx="2">
                  <c:v>154.10239718666989</c:v>
                </c:pt>
                <c:pt idx="3">
                  <c:v>3972.6704910492285</c:v>
                </c:pt>
                <c:pt idx="4">
                  <c:v>1221.5090943130378</c:v>
                </c:pt>
                <c:pt idx="5">
                  <c:v>6895.159794455164</c:v>
                </c:pt>
                <c:pt idx="6">
                  <c:v>57.962576564844646</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364608"/>
        <c:axId val="183513856"/>
      </c:barChart>
      <c:catAx>
        <c:axId val="183364608"/>
        <c:scaling>
          <c:orientation val="minMax"/>
        </c:scaling>
        <c:axPos val="b"/>
        <c:numFmt formatCode="General" sourceLinked="0"/>
        <c:tickLblPos val="nextTo"/>
        <c:crossAx val="183513856"/>
        <c:crosses val="autoZero"/>
        <c:auto val="1"/>
        <c:lblAlgn val="ctr"/>
        <c:lblOffset val="100"/>
      </c:catAx>
      <c:valAx>
        <c:axId val="183513856"/>
        <c:scaling>
          <c:orientation val="minMax"/>
        </c:scaling>
        <c:axPos val="l"/>
        <c:majorGridlines/>
        <c:numFmt formatCode="#,##0" sourceLinked="1"/>
        <c:tickLblPos val="nextTo"/>
        <c:crossAx val="1833646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12680.705561872806</c:v>
                </c:pt>
                <c:pt idx="1">
                  <c:v>3984.435833168091</c:v>
                </c:pt>
                <c:pt idx="2">
                  <c:v>154.10239718666989</c:v>
                </c:pt>
                <c:pt idx="3">
                  <c:v>3972.6704910492285</c:v>
                </c:pt>
                <c:pt idx="4">
                  <c:v>1221.5090943130378</c:v>
                </c:pt>
                <c:pt idx="5">
                  <c:v>6895.159794455164</c:v>
                </c:pt>
                <c:pt idx="6">
                  <c:v>57.962576564844646</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32010</v>
      </c>
      <c r="B6" s="415"/>
      <c r="C6" s="416"/>
    </row>
    <row r="7" spans="1:7" s="413" customFormat="1" ht="15.75" customHeight="1">
      <c r="A7" s="417" t="str">
        <f>txtMunicipality</f>
        <v>KOEKELARE</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32010</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3664</v>
      </c>
      <c r="C9" s="342">
        <v>3612</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3027.18</v>
      </c>
    </row>
    <row r="15" spans="1:6">
      <c r="A15" s="348" t="s">
        <v>184</v>
      </c>
      <c r="B15" s="334">
        <v>50</v>
      </c>
    </row>
    <row r="16" spans="1:6">
      <c r="A16" s="348" t="s">
        <v>6</v>
      </c>
      <c r="B16" s="334">
        <v>1620</v>
      </c>
    </row>
    <row r="17" spans="1:6">
      <c r="A17" s="348" t="s">
        <v>7</v>
      </c>
      <c r="B17" s="334">
        <v>1333</v>
      </c>
    </row>
    <row r="18" spans="1:6">
      <c r="A18" s="348" t="s">
        <v>8</v>
      </c>
      <c r="B18" s="334">
        <v>1671</v>
      </c>
    </row>
    <row r="19" spans="1:6">
      <c r="A19" s="348" t="s">
        <v>9</v>
      </c>
      <c r="B19" s="334">
        <v>1508</v>
      </c>
    </row>
    <row r="20" spans="1:6">
      <c r="A20" s="348" t="s">
        <v>10</v>
      </c>
      <c r="B20" s="334">
        <v>1173</v>
      </c>
    </row>
    <row r="21" spans="1:6">
      <c r="A21" s="348" t="s">
        <v>11</v>
      </c>
      <c r="B21" s="334">
        <v>23365</v>
      </c>
    </row>
    <row r="22" spans="1:6">
      <c r="A22" s="348" t="s">
        <v>12</v>
      </c>
      <c r="B22" s="334">
        <v>63798</v>
      </c>
    </row>
    <row r="23" spans="1:6">
      <c r="A23" s="348" t="s">
        <v>13</v>
      </c>
      <c r="B23" s="334">
        <v>828</v>
      </c>
    </row>
    <row r="24" spans="1:6">
      <c r="A24" s="348" t="s">
        <v>14</v>
      </c>
      <c r="B24" s="334">
        <v>51</v>
      </c>
    </row>
    <row r="25" spans="1:6">
      <c r="A25" s="348" t="s">
        <v>15</v>
      </c>
      <c r="B25" s="334">
        <v>6328</v>
      </c>
    </row>
    <row r="26" spans="1:6">
      <c r="A26" s="348" t="s">
        <v>16</v>
      </c>
      <c r="B26" s="334">
        <v>88</v>
      </c>
    </row>
    <row r="27" spans="1:6">
      <c r="A27" s="348" t="s">
        <v>17</v>
      </c>
      <c r="B27" s="334">
        <v>3</v>
      </c>
    </row>
    <row r="28" spans="1:6" s="356" customFormat="1">
      <c r="A28" s="355" t="s">
        <v>18</v>
      </c>
      <c r="B28" s="355">
        <v>97804</v>
      </c>
    </row>
    <row r="29" spans="1:6">
      <c r="A29" s="355" t="s">
        <v>812</v>
      </c>
      <c r="B29" s="355">
        <v>114</v>
      </c>
      <c r="C29" s="356"/>
      <c r="D29" s="356"/>
      <c r="E29" s="356"/>
      <c r="F29" s="356"/>
    </row>
    <row r="30" spans="1:6">
      <c r="A30" s="355" t="s">
        <v>813</v>
      </c>
      <c r="B30" s="341">
        <v>53</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685</v>
      </c>
    </row>
    <row r="39" spans="1:6">
      <c r="A39" s="348" t="s">
        <v>30</v>
      </c>
      <c r="B39" s="348" t="s">
        <v>31</v>
      </c>
      <c r="C39" s="334">
        <v>2051</v>
      </c>
      <c r="D39" s="334">
        <v>29039170</v>
      </c>
      <c r="E39" s="334">
        <v>3572</v>
      </c>
      <c r="F39" s="334">
        <v>14546071.93697783</v>
      </c>
    </row>
    <row r="40" spans="1:6">
      <c r="A40" s="348" t="s">
        <v>30</v>
      </c>
      <c r="B40" s="348" t="s">
        <v>29</v>
      </c>
      <c r="C40" s="334">
        <v>0</v>
      </c>
      <c r="D40" s="334">
        <v>0</v>
      </c>
      <c r="E40" s="334">
        <v>0</v>
      </c>
      <c r="F40" s="334">
        <v>0</v>
      </c>
    </row>
    <row r="41" spans="1:6">
      <c r="A41" s="348" t="s">
        <v>32</v>
      </c>
      <c r="B41" s="348" t="s">
        <v>33</v>
      </c>
      <c r="C41" s="334">
        <v>36</v>
      </c>
      <c r="D41" s="334">
        <v>659067</v>
      </c>
      <c r="E41" s="334">
        <v>95</v>
      </c>
      <c r="F41" s="334">
        <v>870022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127077</v>
      </c>
      <c r="E44" s="334">
        <v>16</v>
      </c>
      <c r="F44" s="334">
        <v>868281</v>
      </c>
    </row>
    <row r="45" spans="1:6">
      <c r="A45" s="348" t="s">
        <v>32</v>
      </c>
      <c r="B45" s="348" t="s">
        <v>37</v>
      </c>
      <c r="C45" s="334">
        <v>0</v>
      </c>
      <c r="D45" s="334">
        <v>0</v>
      </c>
      <c r="E45" s="334">
        <v>3</v>
      </c>
      <c r="F45" s="334">
        <v>6824</v>
      </c>
    </row>
    <row r="46" spans="1:6">
      <c r="A46" s="348" t="s">
        <v>32</v>
      </c>
      <c r="B46" s="348" t="s">
        <v>38</v>
      </c>
      <c r="C46" s="334">
        <v>0</v>
      </c>
      <c r="D46" s="334">
        <v>0</v>
      </c>
      <c r="E46" s="334">
        <v>0</v>
      </c>
      <c r="F46" s="334">
        <v>0</v>
      </c>
    </row>
    <row r="47" spans="1:6">
      <c r="A47" s="348" t="s">
        <v>32</v>
      </c>
      <c r="B47" s="348" t="s">
        <v>39</v>
      </c>
      <c r="C47" s="334">
        <v>4</v>
      </c>
      <c r="D47" s="334">
        <v>101768</v>
      </c>
      <c r="E47" s="334">
        <v>4</v>
      </c>
      <c r="F47" s="334">
        <v>43326</v>
      </c>
    </row>
    <row r="48" spans="1:6">
      <c r="A48" s="348" t="s">
        <v>32</v>
      </c>
      <c r="B48" s="348" t="s">
        <v>29</v>
      </c>
      <c r="C48" s="334">
        <v>0</v>
      </c>
      <c r="D48" s="334">
        <v>18544</v>
      </c>
      <c r="E48" s="334">
        <v>0</v>
      </c>
      <c r="F48" s="334">
        <v>20021</v>
      </c>
    </row>
    <row r="49" spans="1:6">
      <c r="A49" s="348" t="s">
        <v>32</v>
      </c>
      <c r="B49" s="348" t="s">
        <v>40</v>
      </c>
      <c r="C49" s="334">
        <v>0</v>
      </c>
      <c r="D49" s="334">
        <v>0</v>
      </c>
      <c r="E49" s="334">
        <v>0</v>
      </c>
      <c r="F49" s="334">
        <v>0</v>
      </c>
    </row>
    <row r="50" spans="1:6">
      <c r="A50" s="348" t="s">
        <v>32</v>
      </c>
      <c r="B50" s="348" t="s">
        <v>41</v>
      </c>
      <c r="C50" s="334">
        <v>9</v>
      </c>
      <c r="D50" s="334">
        <v>550447</v>
      </c>
      <c r="E50" s="334">
        <v>14</v>
      </c>
      <c r="F50" s="334">
        <v>872846</v>
      </c>
    </row>
    <row r="51" spans="1:6">
      <c r="A51" s="348" t="s">
        <v>42</v>
      </c>
      <c r="B51" s="348" t="s">
        <v>43</v>
      </c>
      <c r="C51" s="334">
        <v>6</v>
      </c>
      <c r="D51" s="334">
        <v>92539</v>
      </c>
      <c r="E51" s="334">
        <v>130</v>
      </c>
      <c r="F51" s="334">
        <v>3208783</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48</v>
      </c>
      <c r="F54" s="334">
        <v>770302</v>
      </c>
    </row>
    <row r="55" spans="1:6">
      <c r="A55" s="348" t="s">
        <v>46</v>
      </c>
      <c r="B55" s="348" t="s">
        <v>29</v>
      </c>
      <c r="C55" s="334">
        <v>0</v>
      </c>
      <c r="D55" s="334">
        <v>0</v>
      </c>
      <c r="E55" s="334">
        <v>0</v>
      </c>
      <c r="F55" s="334">
        <v>0</v>
      </c>
    </row>
    <row r="56" spans="1:6">
      <c r="A56" s="348" t="s">
        <v>48</v>
      </c>
      <c r="B56" s="348" t="s">
        <v>29</v>
      </c>
      <c r="C56" s="334">
        <v>59</v>
      </c>
      <c r="D56" s="334">
        <v>841826</v>
      </c>
      <c r="E56" s="334">
        <v>67</v>
      </c>
      <c r="F56" s="334">
        <v>245204</v>
      </c>
    </row>
    <row r="57" spans="1:6">
      <c r="A57" s="348" t="s">
        <v>49</v>
      </c>
      <c r="B57" s="348" t="s">
        <v>50</v>
      </c>
      <c r="C57" s="334">
        <v>35</v>
      </c>
      <c r="D57" s="334">
        <v>1718795</v>
      </c>
      <c r="E57" s="334">
        <v>49</v>
      </c>
      <c r="F57" s="334">
        <v>609456</v>
      </c>
    </row>
    <row r="58" spans="1:6">
      <c r="A58" s="348" t="s">
        <v>49</v>
      </c>
      <c r="B58" s="348" t="s">
        <v>51</v>
      </c>
      <c r="C58" s="334">
        <v>10</v>
      </c>
      <c r="D58" s="334">
        <v>1212090</v>
      </c>
      <c r="E58" s="334">
        <v>29</v>
      </c>
      <c r="F58" s="334">
        <v>559881</v>
      </c>
    </row>
    <row r="59" spans="1:6">
      <c r="A59" s="348" t="s">
        <v>49</v>
      </c>
      <c r="B59" s="348" t="s">
        <v>52</v>
      </c>
      <c r="C59" s="334">
        <v>58</v>
      </c>
      <c r="D59" s="334">
        <v>1811670</v>
      </c>
      <c r="E59" s="334">
        <v>115</v>
      </c>
      <c r="F59" s="334">
        <v>4583437</v>
      </c>
    </row>
    <row r="60" spans="1:6">
      <c r="A60" s="348" t="s">
        <v>49</v>
      </c>
      <c r="B60" s="348" t="s">
        <v>53</v>
      </c>
      <c r="C60" s="334">
        <v>27</v>
      </c>
      <c r="D60" s="334">
        <v>1149315</v>
      </c>
      <c r="E60" s="334">
        <v>39</v>
      </c>
      <c r="F60" s="334">
        <v>701582</v>
      </c>
    </row>
    <row r="61" spans="1:6">
      <c r="A61" s="348" t="s">
        <v>49</v>
      </c>
      <c r="B61" s="348" t="s">
        <v>54</v>
      </c>
      <c r="C61" s="334">
        <v>47</v>
      </c>
      <c r="D61" s="334">
        <v>983976</v>
      </c>
      <c r="E61" s="334">
        <v>156</v>
      </c>
      <c r="F61" s="334">
        <v>1948196</v>
      </c>
    </row>
    <row r="62" spans="1:6">
      <c r="A62" s="348" t="s">
        <v>49</v>
      </c>
      <c r="B62" s="348" t="s">
        <v>55</v>
      </c>
      <c r="C62" s="334">
        <v>11</v>
      </c>
      <c r="D62" s="334">
        <v>2240876</v>
      </c>
      <c r="E62" s="334">
        <v>11</v>
      </c>
      <c r="F62" s="334">
        <v>240887</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48570</v>
      </c>
      <c r="E65" s="334">
        <v>0</v>
      </c>
      <c r="F65" s="334">
        <v>24738</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6</v>
      </c>
      <c r="F68" s="334">
        <v>67533</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8114294</v>
      </c>
      <c r="E73" s="476">
        <v>7184933.6854246361</v>
      </c>
    </row>
    <row r="74" spans="1:6">
      <c r="A74" s="348" t="s">
        <v>64</v>
      </c>
      <c r="B74" s="348" t="s">
        <v>667</v>
      </c>
      <c r="C74" s="1212" t="s">
        <v>669</v>
      </c>
      <c r="D74" s="476">
        <v>802118.24516710825</v>
      </c>
      <c r="E74" s="476">
        <v>745804.35322031635</v>
      </c>
    </row>
    <row r="75" spans="1:6">
      <c r="A75" s="348" t="s">
        <v>65</v>
      </c>
      <c r="B75" s="348" t="s">
        <v>666</v>
      </c>
      <c r="C75" s="1212" t="s">
        <v>670</v>
      </c>
      <c r="D75" s="476">
        <v>19884863</v>
      </c>
      <c r="E75" s="476">
        <v>17712048.994672764</v>
      </c>
    </row>
    <row r="76" spans="1:6">
      <c r="A76" s="348" t="s">
        <v>65</v>
      </c>
      <c r="B76" s="348" t="s">
        <v>667</v>
      </c>
      <c r="C76" s="1212" t="s">
        <v>671</v>
      </c>
      <c r="D76" s="476">
        <v>545794.24516710825</v>
      </c>
      <c r="E76" s="476">
        <v>491069.4102412932</v>
      </c>
    </row>
    <row r="77" spans="1:6">
      <c r="A77" s="348" t="s">
        <v>66</v>
      </c>
      <c r="B77" s="348" t="s">
        <v>666</v>
      </c>
      <c r="C77" s="1212" t="s">
        <v>672</v>
      </c>
      <c r="D77" s="476">
        <v>0</v>
      </c>
      <c r="E77" s="476">
        <v>0</v>
      </c>
    </row>
    <row r="78" spans="1:6">
      <c r="A78" s="341" t="s">
        <v>66</v>
      </c>
      <c r="B78" s="341" t="s">
        <v>667</v>
      </c>
      <c r="C78" s="341" t="s">
        <v>673</v>
      </c>
      <c r="D78" s="1213">
        <v>0</v>
      </c>
      <c r="E78" s="1213">
        <v>0</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60115.509665783466</v>
      </c>
      <c r="C83" s="476">
        <v>60115.509665783466</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1694.568377830647</v>
      </c>
    </row>
    <row r="92" spans="1:6">
      <c r="A92" s="341" t="s">
        <v>69</v>
      </c>
      <c r="B92" s="342">
        <v>1295.7111670138347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961</v>
      </c>
    </row>
    <row r="98" spans="1:6">
      <c r="A98" s="348" t="s">
        <v>72</v>
      </c>
      <c r="B98" s="334">
        <v>0</v>
      </c>
    </row>
    <row r="99" spans="1:6">
      <c r="A99" s="348" t="s">
        <v>73</v>
      </c>
      <c r="B99" s="334">
        <v>160</v>
      </c>
    </row>
    <row r="100" spans="1:6">
      <c r="A100" s="348" t="s">
        <v>74</v>
      </c>
      <c r="B100" s="334">
        <v>432</v>
      </c>
    </row>
    <row r="101" spans="1:6">
      <c r="A101" s="348" t="s">
        <v>75</v>
      </c>
      <c r="B101" s="334">
        <v>97</v>
      </c>
    </row>
    <row r="102" spans="1:6">
      <c r="A102" s="348" t="s">
        <v>76</v>
      </c>
      <c r="B102" s="334">
        <v>59</v>
      </c>
    </row>
    <row r="103" spans="1:6">
      <c r="A103" s="348" t="s">
        <v>77</v>
      </c>
      <c r="B103" s="334">
        <v>164</v>
      </c>
    </row>
    <row r="104" spans="1:6">
      <c r="A104" s="348" t="s">
        <v>78</v>
      </c>
      <c r="B104" s="334">
        <v>1301</v>
      </c>
    </row>
    <row r="105" spans="1:6">
      <c r="A105" s="341" t="s">
        <v>79</v>
      </c>
      <c r="B105" s="341">
        <v>2</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v>
      </c>
      <c r="C123" s="334">
        <v>19</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97</v>
      </c>
    </row>
    <row r="130" spans="1:6">
      <c r="A130" s="348" t="s">
        <v>295</v>
      </c>
      <c r="B130" s="334">
        <v>2</v>
      </c>
    </row>
    <row r="131" spans="1:6">
      <c r="A131" s="348" t="s">
        <v>296</v>
      </c>
      <c r="B131" s="334">
        <v>1</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31551.045504059664</v>
      </c>
      <c r="C3" s="43" t="s">
        <v>170</v>
      </c>
      <c r="D3" s="43"/>
      <c r="E3" s="154"/>
      <c r="F3" s="43"/>
      <c r="G3" s="43"/>
      <c r="H3" s="43"/>
      <c r="I3" s="43"/>
      <c r="J3" s="43"/>
      <c r="K3" s="96"/>
    </row>
    <row r="4" spans="1:11">
      <c r="A4" s="383" t="s">
        <v>171</v>
      </c>
      <c r="B4" s="49">
        <f>IF(ISERROR('SEAP template'!B69),0,'SEAP template'!B69)</f>
        <v>2990.2795448444817</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0.20005452041753738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770.30200000000002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770.30200000000002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0.20005452041753738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154.10239718666989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14546.071936977829</v>
      </c>
      <c r="C5" s="17">
        <f>IF(ISERROR('Eigen informatie GS &amp; warmtenet'!B57),0,'Eigen informatie GS &amp; warmtenet'!B57)</f>
        <v>0</v>
      </c>
      <c r="D5" s="30">
        <f>(SUM(HH_hh_gas_kWh,HH_rest_gas_kWh)/1000)*0.902</f>
        <v>26193.331340000001</v>
      </c>
      <c r="E5" s="17">
        <f>B46*B57</f>
        <v>6423.611441473191</v>
      </c>
      <c r="F5" s="17">
        <f>B51*B62</f>
        <v>7789.4893242370927</v>
      </c>
      <c r="G5" s="18"/>
      <c r="H5" s="17"/>
      <c r="I5" s="17"/>
      <c r="J5" s="17">
        <f>B50*B61+C50*C61</f>
        <v>1702.5019066507193</v>
      </c>
      <c r="K5" s="17"/>
      <c r="L5" s="17"/>
      <c r="M5" s="17"/>
      <c r="N5" s="17">
        <f>B48*B59+C48*C59</f>
        <v>11060.109869718061</v>
      </c>
      <c r="O5" s="17">
        <f>B69*B70*B71</f>
        <v>181.34666666666669</v>
      </c>
      <c r="P5" s="17">
        <f>B77*B78*B79/1000-B77*B78*B79/1000/B80</f>
        <v>286</v>
      </c>
    </row>
    <row r="6" spans="1:16">
      <c r="A6" s="16" t="s">
        <v>624</v>
      </c>
      <c r="B6" s="843">
        <f>kWh_PV_kleiner_dan_10kW</f>
        <v>1694.568377830647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16240.640314808476</v>
      </c>
      <c r="C8" s="21">
        <f>C5</f>
        <v>0</v>
      </c>
      <c r="D8" s="21">
        <f>D5</f>
        <v>26193.331340000001</v>
      </c>
      <c r="E8" s="21">
        <f>E5</f>
        <v>6423.611441473191</v>
      </c>
      <c r="F8" s="21">
        <f>F5</f>
        <v>7789.4893242370927</v>
      </c>
      <c r="G8" s="21"/>
      <c r="H8" s="21"/>
      <c r="I8" s="21"/>
      <c r="J8" s="21">
        <f>J5</f>
        <v>1702.5019066507193</v>
      </c>
      <c r="K8" s="21"/>
      <c r="L8" s="21">
        <f>L5</f>
        <v>0</v>
      </c>
      <c r="M8" s="21">
        <f>M5</f>
        <v>0</v>
      </c>
      <c r="N8" s="21">
        <f>N5</f>
        <v>11060.109869718061</v>
      </c>
      <c r="O8" s="21">
        <f>O5</f>
        <v>181.34666666666669</v>
      </c>
      <c r="P8" s="21">
        <f>P5</f>
        <v>286</v>
      </c>
    </row>
    <row r="9" spans="1:16">
      <c r="B9" s="19"/>
      <c r="C9" s="19"/>
      <c r="D9" s="258"/>
      <c r="E9" s="19"/>
      <c r="F9" s="19"/>
      <c r="G9" s="19"/>
      <c r="H9" s="19"/>
      <c r="I9" s="19"/>
      <c r="J9" s="19"/>
      <c r="K9" s="19"/>
      <c r="L9" s="19"/>
      <c r="M9" s="19"/>
      <c r="N9" s="19"/>
      <c r="O9" s="19"/>
      <c r="P9" s="19"/>
    </row>
    <row r="10" spans="1:16">
      <c r="A10" s="24" t="s">
        <v>214</v>
      </c>
      <c r="B10" s="25">
        <f ca="1">'EF ele_warmte'!B12</f>
        <v>0.20005452041753738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3249.0135094527327</v>
      </c>
      <c r="C12" s="23">
        <f ca="1">C10*C8</f>
        <v>0</v>
      </c>
      <c r="D12" s="23">
        <f>D8*D10</f>
        <v>5291.0529306800008</v>
      </c>
      <c r="E12" s="23">
        <f>E10*E8</f>
        <v>1458.1597972144143</v>
      </c>
      <c r="F12" s="23">
        <f>F10*F8</f>
        <v>2079.7936495713038</v>
      </c>
      <c r="G12" s="23"/>
      <c r="H12" s="23"/>
      <c r="I12" s="23"/>
      <c r="J12" s="23">
        <f>J10*J8</f>
        <v>602.68567495435457</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961</v>
      </c>
      <c r="C18" s="166" t="s">
        <v>111</v>
      </c>
      <c r="D18" s="228"/>
      <c r="E18" s="15"/>
    </row>
    <row r="19" spans="1:7">
      <c r="A19" s="171" t="s">
        <v>72</v>
      </c>
      <c r="B19" s="37">
        <f>aantalw2001_ander</f>
        <v>0</v>
      </c>
      <c r="C19" s="166" t="s">
        <v>111</v>
      </c>
      <c r="D19" s="229"/>
      <c r="E19" s="15"/>
    </row>
    <row r="20" spans="1:7">
      <c r="A20" s="171" t="s">
        <v>73</v>
      </c>
      <c r="B20" s="37">
        <f>aantalw2001_propaan</f>
        <v>160</v>
      </c>
      <c r="C20" s="167">
        <f>IF(ISERROR(B20/SUM($B$20,$B$21,$B$22)*100),0,B20/SUM($B$20,$B$21,$B$22)*100)</f>
        <v>23.222060957910013</v>
      </c>
      <c r="D20" s="229"/>
      <c r="E20" s="15"/>
    </row>
    <row r="21" spans="1:7">
      <c r="A21" s="171" t="s">
        <v>74</v>
      </c>
      <c r="B21" s="37">
        <f>aantalw2001_elektriciteit</f>
        <v>432</v>
      </c>
      <c r="C21" s="167">
        <f>IF(ISERROR(B21/SUM($B$20,$B$21,$B$22)*100),0,B21/SUM($B$20,$B$21,$B$22)*100)</f>
        <v>62.699564586357035</v>
      </c>
      <c r="D21" s="229"/>
      <c r="E21" s="15"/>
    </row>
    <row r="22" spans="1:7">
      <c r="A22" s="171" t="s">
        <v>75</v>
      </c>
      <c r="B22" s="37">
        <f>aantalw2001_hout</f>
        <v>97</v>
      </c>
      <c r="C22" s="167">
        <f>IF(ISERROR(B22/SUM($B$20,$B$21,$B$22)*100),0,B22/SUM($B$20,$B$21,$B$22)*100)</f>
        <v>14.078374455732948</v>
      </c>
      <c r="D22" s="229"/>
      <c r="E22" s="15"/>
    </row>
    <row r="23" spans="1:7">
      <c r="A23" s="171" t="s">
        <v>76</v>
      </c>
      <c r="B23" s="37">
        <f>aantalw2001_niet_gespec</f>
        <v>59</v>
      </c>
      <c r="C23" s="166" t="s">
        <v>111</v>
      </c>
      <c r="D23" s="228"/>
      <c r="E23" s="15"/>
    </row>
    <row r="24" spans="1:7">
      <c r="A24" s="171" t="s">
        <v>77</v>
      </c>
      <c r="B24" s="37">
        <f>aantalw2001_steenkool</f>
        <v>164</v>
      </c>
      <c r="C24" s="166" t="s">
        <v>111</v>
      </c>
      <c r="D24" s="229"/>
      <c r="E24" s="15"/>
    </row>
    <row r="25" spans="1:7">
      <c r="A25" s="171" t="s">
        <v>78</v>
      </c>
      <c r="B25" s="37">
        <f>aantalw2001_stookolie</f>
        <v>1301</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698</v>
      </c>
      <c r="B28" s="37">
        <f>aantalHuishoudens2011</f>
        <v>3664</v>
      </c>
      <c r="C28" s="36"/>
      <c r="D28" s="228"/>
    </row>
    <row r="29" spans="1:7" s="15" customFormat="1">
      <c r="A29" s="230" t="s">
        <v>699</v>
      </c>
      <c r="B29" s="37">
        <f>SUM(HH_hh_gas_aantal,HH_rest_gas_aantal)</f>
        <v>2051</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2051</v>
      </c>
      <c r="C32" s="167">
        <f>IF(ISERROR(B32/SUM($B$32,$B$34,$B$35,$B$36,$B$38,$B$39)*100),0,B32/SUM($B$32,$B$34,$B$35,$B$36,$B$38,$B$39)*100)</f>
        <v>56.207180049328585</v>
      </c>
      <c r="D32" s="233"/>
      <c r="G32" s="15"/>
    </row>
    <row r="33" spans="1:7">
      <c r="A33" s="171" t="s">
        <v>72</v>
      </c>
      <c r="B33" s="34" t="s">
        <v>111</v>
      </c>
      <c r="C33" s="167"/>
      <c r="D33" s="233"/>
      <c r="G33" s="15"/>
    </row>
    <row r="34" spans="1:7">
      <c r="A34" s="171" t="s">
        <v>73</v>
      </c>
      <c r="B34" s="33">
        <f>IF((($B$28-$B$32-$B$39-$B$77-$B$38)*C20/100)&lt;0,0,($B$28-$B$32-$B$39-$B$77-$B$38)*C20/100)</f>
        <v>284.0058055152395</v>
      </c>
      <c r="C34" s="167">
        <f>IF(ISERROR(B34/SUM($B$32,$B$34,$B$35,$B$36,$B$38,$B$39)*100),0,B34/SUM($B$32,$B$34,$B$35,$B$36,$B$38,$B$39)*100)</f>
        <v>7.7831133328374751</v>
      </c>
      <c r="D34" s="233"/>
      <c r="G34" s="15"/>
    </row>
    <row r="35" spans="1:7">
      <c r="A35" s="171" t="s">
        <v>74</v>
      </c>
      <c r="B35" s="33">
        <f>IF((($B$28-$B$32-$B$39-$B$77-$B$38)*C21/100)&lt;0,0,($B$28-$B$32-$B$39-$B$77-$B$38)*C21/100)</f>
        <v>766.8156748911465</v>
      </c>
      <c r="C35" s="167">
        <f>IF(ISERROR(B35/SUM($B$32,$B$34,$B$35,$B$36,$B$38,$B$39)*100),0,B35/SUM($B$32,$B$34,$B$35,$B$36,$B$38,$B$39)*100)</f>
        <v>21.014405998661182</v>
      </c>
      <c r="D35" s="233"/>
      <c r="G35" s="15"/>
    </row>
    <row r="36" spans="1:7">
      <c r="A36" s="171" t="s">
        <v>75</v>
      </c>
      <c r="B36" s="33">
        <f>IF((($B$28-$B$32-$B$39-$B$77-$B$38)*C22/100)&lt;0,0,($B$28-$B$32-$B$39-$B$77-$B$38)*C22/100)</f>
        <v>172.17851959361397</v>
      </c>
      <c r="C36" s="167">
        <f>IF(ISERROR(B36/SUM($B$32,$B$34,$B$35,$B$36,$B$38,$B$39)*100),0,B36/SUM($B$32,$B$34,$B$35,$B$36,$B$38,$B$39)*100)</f>
        <v>4.7185124580327207</v>
      </c>
      <c r="D36" s="233"/>
      <c r="G36" s="15"/>
    </row>
    <row r="37" spans="1:7">
      <c r="A37" s="171" t="s">
        <v>76</v>
      </c>
      <c r="B37" s="34" t="s">
        <v>111</v>
      </c>
      <c r="C37" s="167"/>
      <c r="D37" s="173"/>
      <c r="G37" s="15"/>
    </row>
    <row r="38" spans="1:7">
      <c r="A38" s="171" t="s">
        <v>77</v>
      </c>
      <c r="B38" s="33">
        <f>IF((B24-(B29-B18)*0.1)&lt;0,0,B24-(B29-B18)*0.1)</f>
        <v>55</v>
      </c>
      <c r="C38" s="167">
        <f>IF(ISERROR(B38/SUM($B$32,$B$34,$B$35,$B$36,$B$38,$B$39)*100),0,B38/SUM($B$32,$B$34,$B$35,$B$36,$B$38,$B$39)*100)</f>
        <v>1.5072622636338722</v>
      </c>
      <c r="D38" s="234"/>
      <c r="G38" s="15"/>
    </row>
    <row r="39" spans="1:7">
      <c r="A39" s="171" t="s">
        <v>78</v>
      </c>
      <c r="B39" s="33">
        <f>IF((B25-(B29-B18))&lt;0,0,B25-(B29-B18)*0.9)</f>
        <v>320</v>
      </c>
      <c r="C39" s="167">
        <f>IF(ISERROR(B39/SUM($B$32,$B$34,$B$35,$B$36,$B$38,$B$39)*100),0,B39/SUM($B$32,$B$34,$B$35,$B$36,$B$38,$B$39)*100)</f>
        <v>8.7695258975061652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2051</v>
      </c>
      <c r="C44" s="34" t="s">
        <v>111</v>
      </c>
      <c r="D44" s="174"/>
    </row>
    <row r="45" spans="1:7">
      <c r="A45" s="171" t="s">
        <v>72</v>
      </c>
      <c r="B45" s="33" t="str">
        <f t="shared" si="0"/>
        <v>-</v>
      </c>
      <c r="C45" s="34" t="s">
        <v>111</v>
      </c>
      <c r="D45" s="174"/>
    </row>
    <row r="46" spans="1:7">
      <c r="A46" s="171" t="s">
        <v>73</v>
      </c>
      <c r="B46" s="33">
        <f t="shared" si="0"/>
        <v>284.0058055152395</v>
      </c>
      <c r="C46" s="34" t="s">
        <v>111</v>
      </c>
      <c r="D46" s="174"/>
    </row>
    <row r="47" spans="1:7">
      <c r="A47" s="171" t="s">
        <v>74</v>
      </c>
      <c r="B47" s="33">
        <f t="shared" si="0"/>
        <v>766.8156748911465</v>
      </c>
      <c r="C47" s="34" t="s">
        <v>111</v>
      </c>
      <c r="D47" s="174"/>
    </row>
    <row r="48" spans="1:7">
      <c r="A48" s="171" t="s">
        <v>75</v>
      </c>
      <c r="B48" s="33">
        <f t="shared" si="0"/>
        <v>172.17851959361397</v>
      </c>
      <c r="C48" s="33">
        <f>B48*10</f>
        <v>1721.7851959361396</v>
      </c>
      <c r="D48" s="234"/>
    </row>
    <row r="49" spans="1:6">
      <c r="A49" s="171" t="s">
        <v>76</v>
      </c>
      <c r="B49" s="33" t="str">
        <f t="shared" si="0"/>
        <v>-</v>
      </c>
      <c r="C49" s="34" t="s">
        <v>111</v>
      </c>
      <c r="D49" s="234"/>
    </row>
    <row r="50" spans="1:6">
      <c r="A50" s="171" t="s">
        <v>77</v>
      </c>
      <c r="B50" s="33">
        <f t="shared" si="0"/>
        <v>55</v>
      </c>
      <c r="C50" s="33">
        <f>B50*2</f>
        <v>110</v>
      </c>
      <c r="D50" s="234"/>
    </row>
    <row r="51" spans="1:6">
      <c r="A51" s="171" t="s">
        <v>78</v>
      </c>
      <c r="B51" s="33">
        <f t="shared" si="0"/>
        <v>320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116</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15</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8643.4390000000003</v>
      </c>
      <c r="C5" s="17">
        <f>IF(ISERROR('Eigen informatie GS &amp; warmtenet'!B58),0,'Eigen informatie GS &amp; warmtenet'!B58)</f>
        <v>0</v>
      </c>
      <c r="D5" s="30">
        <f>SUM(D6:D12)</f>
        <v>8223.283244000002</v>
      </c>
      <c r="E5" s="17">
        <f>SUM(E6:E12)</f>
        <v>194.7950389337507</v>
      </c>
      <c r="F5" s="17">
        <f>SUM(F6:F12)</f>
        <v>2059.7569293591382</v>
      </c>
      <c r="G5" s="18"/>
      <c r="H5" s="17"/>
      <c r="I5" s="17"/>
      <c r="J5" s="17">
        <f>SUM(J6:J12)</f>
        <v>0</v>
      </c>
      <c r="K5" s="17"/>
      <c r="L5" s="17"/>
      <c r="M5" s="17"/>
      <c r="N5" s="17">
        <f>SUM(N6:N12)</f>
        <v>494.88047291090919</v>
      </c>
      <c r="O5" s="17">
        <f>B38*B39*B40</f>
        <v>3.1266666666666669</v>
      </c>
      <c r="P5" s="17">
        <f>B46*B47*B48/1000-B46*B47*B48/1000/B49</f>
        <v>19.066666666666666</v>
      </c>
      <c r="R5" s="32"/>
    </row>
    <row r="6" spans="1:18">
      <c r="A6" s="32" t="s">
        <v>54</v>
      </c>
      <c r="B6" s="37">
        <f>B26</f>
        <v>1948.1959999999999</v>
      </c>
      <c r="C6" s="33"/>
      <c r="D6" s="37">
        <f>IF(ISERROR(TER_kantoor_gas_kWh/1000),0,TER_kantoor_gas_kWh/1000)*0.902</f>
        <v>887.54635200000007</v>
      </c>
      <c r="E6" s="33">
        <f>$C$26*'E Balans VL '!I12/100/3.6*1000000</f>
        <v>25.504285469487066</v>
      </c>
      <c r="F6" s="33">
        <f>$C$26*('E Balans VL '!L12+'E Balans VL '!N12)/100/3.6*1000000</f>
        <v>496.76984809456138</v>
      </c>
      <c r="G6" s="34"/>
      <c r="H6" s="33"/>
      <c r="I6" s="33"/>
      <c r="J6" s="33">
        <f>$C$26*('E Balans VL '!D12+'E Balans VL '!E12)/100/3.6*1000000</f>
        <v>0</v>
      </c>
      <c r="K6" s="33"/>
      <c r="L6" s="33"/>
      <c r="M6" s="33"/>
      <c r="N6" s="33">
        <f>$C$26*'E Balans VL '!Y12/100/3.6*1000000</f>
        <v>1.9547564456791486</v>
      </c>
      <c r="O6" s="33"/>
      <c r="P6" s="33"/>
      <c r="R6" s="32"/>
    </row>
    <row r="7" spans="1:18">
      <c r="A7" s="32" t="s">
        <v>53</v>
      </c>
      <c r="B7" s="37">
        <f t="shared" ref="B7:B12" si="0">B27</f>
        <v>701.58199999999999</v>
      </c>
      <c r="C7" s="33"/>
      <c r="D7" s="37">
        <f>IF(ISERROR(TER_horeca_gas_kWh/1000),0,TER_horeca_gas_kWh/1000)*0.902</f>
        <v>1036.6821300000001</v>
      </c>
      <c r="E7" s="33">
        <f>$C$27*'E Balans VL '!I9/100/3.6*1000000</f>
        <v>23.218096619853991</v>
      </c>
      <c r="F7" s="33">
        <f>$C$27*('E Balans VL '!L9+'E Balans VL '!N9)/100/3.6*1000000</f>
        <v>301.67757121208786</v>
      </c>
      <c r="G7" s="34"/>
      <c r="H7" s="33"/>
      <c r="I7" s="33"/>
      <c r="J7" s="33">
        <f>$C$27*('E Balans VL '!D9+'E Balans VL '!E9)/100/3.6*1000000</f>
        <v>0</v>
      </c>
      <c r="K7" s="33"/>
      <c r="L7" s="33"/>
      <c r="M7" s="33"/>
      <c r="N7" s="33">
        <f>$C$27*'E Balans VL '!Y9/100/3.6*1000000</f>
        <v>0.1688809754886898</v>
      </c>
      <c r="O7" s="33"/>
      <c r="P7" s="33"/>
      <c r="R7" s="32"/>
    </row>
    <row r="8" spans="1:18">
      <c r="A8" s="6" t="s">
        <v>52</v>
      </c>
      <c r="B8" s="37">
        <f t="shared" si="0"/>
        <v>4583.4369999999999</v>
      </c>
      <c r="C8" s="33"/>
      <c r="D8" s="37">
        <f>IF(ISERROR(TER_handel_gas_kWh/1000),0,TER_handel_gas_kWh/1000)*0.902</f>
        <v>1634.12634</v>
      </c>
      <c r="E8" s="33">
        <f>$C$28*'E Balans VL '!I13/100/3.6*1000000</f>
        <v>144.66027500327218</v>
      </c>
      <c r="F8" s="33">
        <f>$C$28*('E Balans VL '!L13+'E Balans VL '!N13)/100/3.6*1000000</f>
        <v>898.89270501469161</v>
      </c>
      <c r="G8" s="34"/>
      <c r="H8" s="33"/>
      <c r="I8" s="33"/>
      <c r="J8" s="33">
        <f>$C$28*('E Balans VL '!D13+'E Balans VL '!E13)/100/3.6*1000000</f>
        <v>0</v>
      </c>
      <c r="K8" s="33"/>
      <c r="L8" s="33"/>
      <c r="M8" s="33"/>
      <c r="N8" s="33">
        <f>$C$28*'E Balans VL '!Y13/100/3.6*1000000</f>
        <v>5.4396498556308286</v>
      </c>
      <c r="O8" s="33"/>
      <c r="P8" s="33"/>
      <c r="R8" s="32"/>
    </row>
    <row r="9" spans="1:18">
      <c r="A9" s="32" t="s">
        <v>51</v>
      </c>
      <c r="B9" s="37">
        <f t="shared" si="0"/>
        <v>559.88099999999997</v>
      </c>
      <c r="C9" s="33"/>
      <c r="D9" s="37">
        <f>IF(ISERROR(TER_gezond_gas_kWh/1000),0,TER_gezond_gas_kWh/1000)*0.902</f>
        <v>1093.3051800000001</v>
      </c>
      <c r="E9" s="33">
        <f>$C$29*'E Balans VL '!I10/100/3.6*1000000</f>
        <v>7.1681146955236683E-2</v>
      </c>
      <c r="F9" s="33">
        <f>$C$29*('E Balans VL '!L10+'E Balans VL '!N10)/100/3.6*1000000</f>
        <v>116.64667906328356</v>
      </c>
      <c r="G9" s="34"/>
      <c r="H9" s="33"/>
      <c r="I9" s="33"/>
      <c r="J9" s="33">
        <f>$C$29*('E Balans VL '!D10+'E Balans VL '!E10)/100/3.6*1000000</f>
        <v>0</v>
      </c>
      <c r="K9" s="33"/>
      <c r="L9" s="33"/>
      <c r="M9" s="33"/>
      <c r="N9" s="33">
        <f>$C$29*'E Balans VL '!Y10/100/3.6*1000000</f>
        <v>6.5760669795509985</v>
      </c>
      <c r="O9" s="33"/>
      <c r="P9" s="33"/>
      <c r="R9" s="32"/>
    </row>
    <row r="10" spans="1:18">
      <c r="A10" s="32" t="s">
        <v>50</v>
      </c>
      <c r="B10" s="37">
        <f t="shared" si="0"/>
        <v>609.45600000000002</v>
      </c>
      <c r="C10" s="33"/>
      <c r="D10" s="37">
        <f>IF(ISERROR(TER_ander_gas_kWh/1000),0,TER_ander_gas_kWh/1000)*0.902</f>
        <v>1550.3530900000001</v>
      </c>
      <c r="E10" s="33">
        <f>$C$30*'E Balans VL '!I14/100/3.6*1000000</f>
        <v>0.91647850092144822</v>
      </c>
      <c r="F10" s="33">
        <f>$C$30*('E Balans VL '!L14+'E Balans VL '!N14)/100/3.6*1000000</f>
        <v>134.54823923145835</v>
      </c>
      <c r="G10" s="34"/>
      <c r="H10" s="33"/>
      <c r="I10" s="33"/>
      <c r="J10" s="33">
        <f>$C$30*('E Balans VL '!D14+'E Balans VL '!E14)/100/3.6*1000000</f>
        <v>0</v>
      </c>
      <c r="K10" s="33"/>
      <c r="L10" s="33"/>
      <c r="M10" s="33"/>
      <c r="N10" s="33">
        <f>$C$30*'E Balans VL '!Y14/100/3.6*1000000</f>
        <v>480.29234284238646</v>
      </c>
      <c r="O10" s="33"/>
      <c r="P10" s="33"/>
      <c r="R10" s="32"/>
    </row>
    <row r="11" spans="1:18">
      <c r="A11" s="32" t="s">
        <v>55</v>
      </c>
      <c r="B11" s="37">
        <f t="shared" si="0"/>
        <v>240.887</v>
      </c>
      <c r="C11" s="33"/>
      <c r="D11" s="37">
        <f>IF(ISERROR(TER_onderwijs_gas_kWh/1000),0,TER_onderwijs_gas_kWh/1000)*0.902</f>
        <v>2021.2701520000003</v>
      </c>
      <c r="E11" s="33">
        <f>$C$31*'E Balans VL '!I11/100/3.6*1000000</f>
        <v>0.42422219326082339</v>
      </c>
      <c r="F11" s="33">
        <f>$C$31*('E Balans VL '!L11+'E Balans VL '!N11)/100/3.6*1000000</f>
        <v>111.2218867430558</v>
      </c>
      <c r="G11" s="34"/>
      <c r="H11" s="33"/>
      <c r="I11" s="33"/>
      <c r="J11" s="33">
        <f>$C$31*('E Balans VL '!D11+'E Balans VL '!E11)/100/3.6*1000000</f>
        <v>0</v>
      </c>
      <c r="K11" s="33"/>
      <c r="L11" s="33"/>
      <c r="M11" s="33"/>
      <c r="N11" s="33">
        <f>$C$31*'E Balans VL '!Y11/100/3.6*1000000</f>
        <v>0.44877581217301737</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8643.4390000000003</v>
      </c>
      <c r="C16" s="21">
        <f t="shared" ca="1" si="1"/>
        <v>0</v>
      </c>
      <c r="D16" s="21">
        <f t="shared" ca="1" si="1"/>
        <v>8223.283244000002</v>
      </c>
      <c r="E16" s="21">
        <f t="shared" si="1"/>
        <v>194.7950389337507</v>
      </c>
      <c r="F16" s="21">
        <f t="shared" ca="1" si="1"/>
        <v>2059.7569293591382</v>
      </c>
      <c r="G16" s="21">
        <f t="shared" si="1"/>
        <v>0</v>
      </c>
      <c r="H16" s="21">
        <f t="shared" si="1"/>
        <v>0</v>
      </c>
      <c r="I16" s="21">
        <f t="shared" si="1"/>
        <v>0</v>
      </c>
      <c r="J16" s="21">
        <f t="shared" si="1"/>
        <v>0</v>
      </c>
      <c r="K16" s="21">
        <f t="shared" si="1"/>
        <v>0</v>
      </c>
      <c r="L16" s="21">
        <f t="shared" ca="1" si="1"/>
        <v>0</v>
      </c>
      <c r="M16" s="21">
        <f t="shared" si="1"/>
        <v>0</v>
      </c>
      <c r="N16" s="21">
        <f t="shared" ca="1" si="1"/>
        <v>494.88047291090919</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0.20005452041753738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1729.1590439032389</v>
      </c>
      <c r="C20" s="23">
        <f t="shared" ref="C20:P20" ca="1" si="2">C16*C18</f>
        <v>0</v>
      </c>
      <c r="D20" s="23">
        <f t="shared" ca="1" si="2"/>
        <v>1661.1032152880005</v>
      </c>
      <c r="E20" s="23">
        <f t="shared" si="2"/>
        <v>44.218473837961412</v>
      </c>
      <c r="F20" s="23">
        <f t="shared" ca="1" si="2"/>
        <v>549.95510013888997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1948.1959999999999</v>
      </c>
      <c r="C26" s="39">
        <f>IF(ISERROR(B26*3.6/1000000/'E Balans VL '!Z12*100),0,B26*3.6/1000000/'E Balans VL '!Z12*100)</f>
        <v>4.1731871814537629E-2</v>
      </c>
      <c r="D26" s="237" t="s">
        <v>660</v>
      </c>
      <c r="F26" s="6"/>
    </row>
    <row r="27" spans="1:18">
      <c r="A27" s="231" t="s">
        <v>53</v>
      </c>
      <c r="B27" s="33">
        <f>IF(ISERROR(TER_horeca_ele_kWh/1000),0,TER_horeca_ele_kWh/1000)</f>
        <v>701.58199999999999</v>
      </c>
      <c r="C27" s="39">
        <f>IF(ISERROR(B27*3.6/1000000/'E Balans VL '!Z9*100),0,B27*3.6/1000000/'E Balans VL '!Z9*100)</f>
        <v>5.6299516825859951E-2</v>
      </c>
      <c r="D27" s="237" t="s">
        <v>660</v>
      </c>
      <c r="F27" s="6"/>
    </row>
    <row r="28" spans="1:18">
      <c r="A28" s="171" t="s">
        <v>52</v>
      </c>
      <c r="B28" s="33">
        <f>IF(ISERROR(TER_handel_ele_kWh/1000),0,TER_handel_ele_kWh/1000)</f>
        <v>4583.4369999999999</v>
      </c>
      <c r="C28" s="39">
        <f>IF(ISERROR(B28*3.6/1000000/'E Balans VL '!Z13*100),0,B28*3.6/1000000/'E Balans VL '!Z13*100)</f>
        <v>0.13518510195397282</v>
      </c>
      <c r="D28" s="237" t="s">
        <v>660</v>
      </c>
      <c r="F28" s="6"/>
    </row>
    <row r="29" spans="1:18">
      <c r="A29" s="231" t="s">
        <v>51</v>
      </c>
      <c r="B29" s="33">
        <f>IF(ISERROR(TER_gezond_ele_kWh/1000),0,TER_gezond_ele_kWh/1000)</f>
        <v>559.88099999999997</v>
      </c>
      <c r="C29" s="39">
        <f>IF(ISERROR(B29*3.6/1000000/'E Balans VL '!Z10*100),0,B29*3.6/1000000/'E Balans VL '!Z10*100)</f>
        <v>5.9780279827483171E-2</v>
      </c>
      <c r="D29" s="237" t="s">
        <v>660</v>
      </c>
      <c r="F29" s="6"/>
    </row>
    <row r="30" spans="1:18">
      <c r="A30" s="231" t="s">
        <v>50</v>
      </c>
      <c r="B30" s="33">
        <f>IF(ISERROR(TER_ander_ele_kWh/1000),0,TER_ander_ele_kWh/1000)</f>
        <v>609.45600000000002</v>
      </c>
      <c r="C30" s="39">
        <f>IF(ISERROR(B30*3.6/1000000/'E Balans VL '!Z14*100),0,B30*3.6/1000000/'E Balans VL '!Z14*100)</f>
        <v>4.6034604917176772E-2</v>
      </c>
      <c r="D30" s="237" t="s">
        <v>660</v>
      </c>
      <c r="F30" s="6"/>
    </row>
    <row r="31" spans="1:18">
      <c r="A31" s="231" t="s">
        <v>55</v>
      </c>
      <c r="B31" s="33">
        <f>IF(ISERROR(TER_onderwijs_ele_kWh/1000),0,TER_onderwijs_ele_kWh/1000)</f>
        <v>240.887</v>
      </c>
      <c r="C31" s="39">
        <f>IF(ISERROR(B31*3.6/1000000/'E Balans VL '!Z11*100),0,B31*3.6/1000000/'E Balans VL '!Z11*100)</f>
        <v>4.8643126729294286E-2</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2681.32</v>
      </c>
      <c r="C5" s="17">
        <f>IF(ISERROR('Eigen informatie GS &amp; warmtenet'!B59),0,'Eigen informatie GS &amp; warmtenet'!B59)</f>
        <v>0</v>
      </c>
      <c r="D5" s="30">
        <f>SUM(D6:D15)</f>
        <v>1314.1265060000001</v>
      </c>
      <c r="E5" s="17">
        <f>SUM(E6:E15)</f>
        <v>276.8596535819608</v>
      </c>
      <c r="F5" s="17">
        <f>SUM(F6:F15)</f>
        <v>1332.251624789174</v>
      </c>
      <c r="G5" s="18"/>
      <c r="H5" s="17"/>
      <c r="I5" s="17"/>
      <c r="J5" s="17">
        <f>SUM(J6:J15)</f>
        <v>3.0707012239321028</v>
      </c>
      <c r="K5" s="17"/>
      <c r="L5" s="17"/>
      <c r="M5" s="17"/>
      <c r="N5" s="17">
        <f>SUM(N6:N15)</f>
        <v>725.83944351230195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868.28099999999995</v>
      </c>
      <c r="C8" s="33"/>
      <c r="D8" s="37">
        <f>IF( ISERROR(IND_metaal_Gas_kWH/1000),0,IND_metaal_Gas_kWH/1000)*0.902</f>
        <v>114.623454</v>
      </c>
      <c r="E8" s="33">
        <f>C30*'E Balans VL '!I18/100/3.6*1000000</f>
        <v>31.243377108085657</v>
      </c>
      <c r="F8" s="33">
        <f>C30*'E Balans VL '!L18/100/3.6*1000000+C30*'E Balans VL '!N18/100/3.6*1000000</f>
        <v>379.1501660582735</v>
      </c>
      <c r="G8" s="34"/>
      <c r="H8" s="33"/>
      <c r="I8" s="33"/>
      <c r="J8" s="40">
        <f>C30*'E Balans VL '!D18/100/3.6*1000000+C30*'E Balans VL '!E18/100/3.6*1000000</f>
        <v>0</v>
      </c>
      <c r="K8" s="33"/>
      <c r="L8" s="33"/>
      <c r="M8" s="33"/>
      <c r="N8" s="33">
        <f>C30*'E Balans VL '!Y18/100/3.6*1000000</f>
        <v>43.517653660538031</v>
      </c>
      <c r="O8" s="33"/>
      <c r="P8" s="33"/>
      <c r="R8" s="32"/>
    </row>
    <row r="9" spans="1:18">
      <c r="A9" s="6" t="s">
        <v>33</v>
      </c>
      <c r="B9" s="37">
        <f t="shared" si="0"/>
        <v>870.02200000000005</v>
      </c>
      <c r="C9" s="33"/>
      <c r="D9" s="37">
        <f>IF( ISERROR(IND_andere_gas_kWh/1000),0,IND_andere_gas_kWh/1000)*0.902</f>
        <v>594.47843399999999</v>
      </c>
      <c r="E9" s="33">
        <f>C31*'E Balans VL '!I19/100/3.6*1000000</f>
        <v>222.00992960089923</v>
      </c>
      <c r="F9" s="33">
        <f>C31*'E Balans VL '!L19/100/3.6*1000000+C31*'E Balans VL '!N19/100/3.6*1000000</f>
        <v>749.02354860420303</v>
      </c>
      <c r="G9" s="34"/>
      <c r="H9" s="33"/>
      <c r="I9" s="33"/>
      <c r="J9" s="40">
        <f>C31*'E Balans VL '!D19/100/3.6*1000000+C31*'E Balans VL '!E19/100/3.6*1000000</f>
        <v>0</v>
      </c>
      <c r="K9" s="33"/>
      <c r="L9" s="33"/>
      <c r="M9" s="33"/>
      <c r="N9" s="33">
        <f>C31*'E Balans VL '!Y19/100/3.6*1000000</f>
        <v>272.08567454173181</v>
      </c>
      <c r="O9" s="33"/>
      <c r="P9" s="33"/>
      <c r="R9" s="32"/>
    </row>
    <row r="10" spans="1:18">
      <c r="A10" s="6" t="s">
        <v>41</v>
      </c>
      <c r="B10" s="37">
        <f t="shared" si="0"/>
        <v>872.846</v>
      </c>
      <c r="C10" s="33"/>
      <c r="D10" s="37">
        <f>IF( ISERROR(IND_voed_gas_kWh/1000),0,IND_voed_gas_kWh/1000)*0.902</f>
        <v>496.50319400000001</v>
      </c>
      <c r="E10" s="33">
        <f>C32*'E Balans VL '!I20/100/3.6*1000000</f>
        <v>22.188943835774346</v>
      </c>
      <c r="F10" s="33">
        <f>C32*'E Balans VL '!L20/100/3.6*1000000+C32*'E Balans VL '!N20/100/3.6*1000000</f>
        <v>197.51194725157552</v>
      </c>
      <c r="G10" s="34"/>
      <c r="H10" s="33"/>
      <c r="I10" s="33"/>
      <c r="J10" s="40">
        <f>C32*'E Balans VL '!D20/100/3.6*1000000+C32*'E Balans VL '!E20/100/3.6*1000000</f>
        <v>0</v>
      </c>
      <c r="K10" s="33"/>
      <c r="L10" s="33"/>
      <c r="M10" s="33"/>
      <c r="N10" s="33">
        <f>C32*'E Balans VL '!Y20/100/3.6*1000000</f>
        <v>327.34090942144167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6.8239999999999998</v>
      </c>
      <c r="C12" s="33"/>
      <c r="D12" s="37">
        <f>IF( ISERROR(IND_min_gas_kWh/1000),0,IND_min_gas_kWh/1000)*0.902</f>
        <v>0</v>
      </c>
      <c r="E12" s="33">
        <f>C34*'E Balans VL '!I22/100/3.6*1000000</f>
        <v>0.14499289753960501</v>
      </c>
      <c r="F12" s="33">
        <f>C34*'E Balans VL '!L22/100/3.6*1000000+C34*'E Balans VL '!N22/100/3.6*1000000</f>
        <v>1.1133937548009527</v>
      </c>
      <c r="G12" s="34"/>
      <c r="H12" s="33"/>
      <c r="I12" s="33"/>
      <c r="J12" s="40">
        <f>C34*'E Balans VL '!D22/100/3.6*1000000+C34*'E Balans VL '!E22/100/3.6*1000000</f>
        <v>7.9505968191735509E-3</v>
      </c>
      <c r="K12" s="33"/>
      <c r="L12" s="33"/>
      <c r="M12" s="33"/>
      <c r="N12" s="33">
        <f>C34*'E Balans VL '!Y22/100/3.6*1000000</f>
        <v>0</v>
      </c>
      <c r="O12" s="33"/>
      <c r="P12" s="33"/>
      <c r="R12" s="32"/>
    </row>
    <row r="13" spans="1:18">
      <c r="A13" s="6" t="s">
        <v>39</v>
      </c>
      <c r="B13" s="37">
        <f t="shared" si="0"/>
        <v>43.326000000000001</v>
      </c>
      <c r="C13" s="33"/>
      <c r="D13" s="37">
        <f>IF( ISERROR(IND_papier_gas_kWh/1000),0,IND_papier_gas_kWh/1000)*0.902</f>
        <v>91.794736</v>
      </c>
      <c r="E13" s="33">
        <f>C35*'E Balans VL '!I23/100/3.6*1000000</f>
        <v>0.18581260969610897</v>
      </c>
      <c r="F13" s="33">
        <f>C35*'E Balans VL '!L23/100/3.6*1000000+C35*'E Balans VL '!N23/100/3.6*1000000</f>
        <v>1.0889168553432937</v>
      </c>
      <c r="G13" s="34"/>
      <c r="H13" s="33"/>
      <c r="I13" s="33"/>
      <c r="J13" s="40">
        <f>C35*'E Balans VL '!D23/100/3.6*1000000+C35*'E Balans VL '!E23/100/3.6*1000000</f>
        <v>2.9004380666652745</v>
      </c>
      <c r="K13" s="33"/>
      <c r="L13" s="33"/>
      <c r="M13" s="33"/>
      <c r="N13" s="33">
        <f>C35*'E Balans VL '!Y23/100/3.6*1000000</f>
        <v>78.863623315895893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20.021000000000001</v>
      </c>
      <c r="C15" s="33"/>
      <c r="D15" s="37">
        <f>IF( ISERROR(IND_rest_gas_kWh/1000),0,IND_rest_gas_kWh/1000)*0.902</f>
        <v>16.726687999999999</v>
      </c>
      <c r="E15" s="33">
        <f>C37*'E Balans VL '!I15/100/3.6*1000000</f>
        <v>1.0865975299658448</v>
      </c>
      <c r="F15" s="33">
        <f>C37*'E Balans VL '!L15/100/3.6*1000000+C37*'E Balans VL '!N15/100/3.6*1000000</f>
        <v>4.3636522649777634</v>
      </c>
      <c r="G15" s="34"/>
      <c r="H15" s="33"/>
      <c r="I15" s="33"/>
      <c r="J15" s="40">
        <f>C37*'E Balans VL '!D15/100/3.6*1000000+C37*'E Balans VL '!E15/100/3.6*1000000</f>
        <v>0.16231256044765441</v>
      </c>
      <c r="K15" s="33"/>
      <c r="L15" s="33"/>
      <c r="M15" s="33"/>
      <c r="N15" s="33">
        <f>C37*'E Balans VL '!Y15/100/3.6*1000000</f>
        <v>4.0315825726945409</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2681.32</v>
      </c>
      <c r="C18" s="21">
        <f>C5+C16</f>
        <v>0</v>
      </c>
      <c r="D18" s="21">
        <f>MAX((D5+D16),0)</f>
        <v>1314.1265060000001</v>
      </c>
      <c r="E18" s="21">
        <f>MAX((E5+E16),0)</f>
        <v>276.8596535819608</v>
      </c>
      <c r="F18" s="21">
        <f>MAX((F5+F16),0)</f>
        <v>1332.251624789174</v>
      </c>
      <c r="G18" s="21"/>
      <c r="H18" s="21"/>
      <c r="I18" s="21"/>
      <c r="J18" s="21">
        <f>MAX((J5+J16),0)</f>
        <v>3.0707012239321028</v>
      </c>
      <c r="K18" s="21"/>
      <c r="L18" s="21">
        <f>MAX((L5+L16),0)</f>
        <v>0</v>
      </c>
      <c r="M18" s="21"/>
      <c r="N18" s="21">
        <f>MAX((N5+N16),0)</f>
        <v>725.83944351230195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0.20005452041753738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536.41018668595132</v>
      </c>
      <c r="C22" s="23">
        <f ca="1">C18*C20</f>
        <v>0</v>
      </c>
      <c r="D22" s="23">
        <f>D18*D20</f>
        <v>265.45355421200003</v>
      </c>
      <c r="E22" s="23">
        <f>E18*E20</f>
        <v>62.847141363105102</v>
      </c>
      <c r="F22" s="23">
        <f>F18*F20</f>
        <v>355.71118381870946</v>
      </c>
      <c r="G22" s="23"/>
      <c r="H22" s="23"/>
      <c r="I22" s="23"/>
      <c r="J22" s="23">
        <f>J18*J20</f>
        <v>1.0870282332719643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868.28099999999995</v>
      </c>
      <c r="C30" s="39">
        <f>IF(ISERROR(B30*3.6/1000000/'E Balans VL '!Z18*100),0,B30*3.6/1000000/'E Balans VL '!Z18*100)</f>
        <v>0.18397012844598037</v>
      </c>
      <c r="D30" s="237" t="s">
        <v>660</v>
      </c>
    </row>
    <row r="31" spans="1:18">
      <c r="A31" s="6" t="s">
        <v>33</v>
      </c>
      <c r="B31" s="37">
        <f>IF( ISERROR(IND_ander_ele_kWh/1000),0,IND_ander_ele_kWh/1000)</f>
        <v>870.02200000000005</v>
      </c>
      <c r="C31" s="39">
        <f>IF(ISERROR(B31*3.6/1000000/'E Balans VL '!Z19*100),0,B31*3.6/1000000/'E Balans VL '!Z19*100)</f>
        <v>3.6621201508623122E-2</v>
      </c>
      <c r="D31" s="237" t="s">
        <v>660</v>
      </c>
    </row>
    <row r="32" spans="1:18">
      <c r="A32" s="171" t="s">
        <v>41</v>
      </c>
      <c r="B32" s="37">
        <f>IF( ISERROR(IND_voed_ele_kWh/1000),0,IND_voed_ele_kWh/1000)</f>
        <v>872.846</v>
      </c>
      <c r="C32" s="39">
        <f>IF(ISERROR(B32*3.6/1000000/'E Balans VL '!Z20*100),0,B32*3.6/1000000/'E Balans VL '!Z20*100)</f>
        <v>0.14581879987328095</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6.8239999999999998</v>
      </c>
      <c r="C34" s="39">
        <f>IF(ISERROR(B34*3.6/1000000/'E Balans VL '!Z22*100),0,B34*3.6/1000000/'E Balans VL '!Z22*100)</f>
        <v>8.649788017233075E-4</v>
      </c>
      <c r="D34" s="237" t="s">
        <v>660</v>
      </c>
    </row>
    <row r="35" spans="1:5">
      <c r="A35" s="171" t="s">
        <v>39</v>
      </c>
      <c r="B35" s="37">
        <f>IF( ISERROR(IND_papier_ele_kWh/1000),0,IND_papier_ele_kWh/1000)</f>
        <v>43.326000000000001</v>
      </c>
      <c r="C35" s="39">
        <f>IF(ISERROR(B35*3.6/1000000/'E Balans VL '!Z22*100),0,B35*3.6/1000000/'E Balans VL '!Z22*100)</f>
        <v>5.4918041564279039E-3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20.021000000000001</v>
      </c>
      <c r="C37" s="39">
        <f>IF(ISERROR(B37*3.6/1000000/'E Balans VL '!Z15*100),0,B37*3.6/1000000/'E Balans VL '!Z15*100)</f>
        <v>1.6163728548652552E-4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3208.7829999999999</v>
      </c>
      <c r="C5" s="17">
        <f>'Eigen informatie GS &amp; warmtenet'!B60</f>
        <v>0</v>
      </c>
      <c r="D5" s="30">
        <f>IF(ISERROR(SUM(LB_lb_gas_kWh,LB_rest_gas_kWh,onbekend_gas_kWh)/1000),0,SUM(LB_lb_gas_kWh,LB_rest_gas_kWh,onbekend_gas_kWh)/1000)*0.902</f>
        <v>83.470178000000004</v>
      </c>
      <c r="E5" s="17">
        <f>B17*'E Balans VL '!I25/3.6*1000000/100</f>
        <v>82.742193267688748</v>
      </c>
      <c r="F5" s="17">
        <f>B17*('E Balans VL '!L25/3.6*1000000+'E Balans VL '!N25/3.6*1000000)/100</f>
        <v>11728.712948037684</v>
      </c>
      <c r="G5" s="18"/>
      <c r="H5" s="17"/>
      <c r="I5" s="17"/>
      <c r="J5" s="17">
        <f>('E Balans VL '!D25+'E Balans VL '!E25)/3.6*1000000*landbouw!B17/100</f>
        <v>461.94671160015378</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3208.7829999999999</v>
      </c>
      <c r="C8" s="21">
        <f>C5+C6</f>
        <v>0</v>
      </c>
      <c r="D8" s="21">
        <f>MAX((D5+D6),0)</f>
        <v>83.470178000000004</v>
      </c>
      <c r="E8" s="21">
        <f>MAX((E5+E6),0)</f>
        <v>82.742193267688748</v>
      </c>
      <c r="F8" s="21">
        <f>MAX((F5+F6),0)</f>
        <v>11728.712948037684</v>
      </c>
      <c r="G8" s="21"/>
      <c r="H8" s="21"/>
      <c r="I8" s="21"/>
      <c r="J8" s="21">
        <f>MAX((J5+J6),0)</f>
        <v>461.94671160015378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0.20005452041753738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641.93154418894687</v>
      </c>
      <c r="C12" s="23">
        <f ca="1">C8*C10</f>
        <v>0</v>
      </c>
      <c r="D12" s="23">
        <f>D8*D10</f>
        <v>16.860975956000001</v>
      </c>
      <c r="E12" s="23">
        <f>E8*E10</f>
        <v>18.782477871765348</v>
      </c>
      <c r="F12" s="23">
        <f>F8*F10</f>
        <v>3131.566357126062</v>
      </c>
      <c r="G12" s="23"/>
      <c r="H12" s="23"/>
      <c r="I12" s="23"/>
      <c r="J12" s="23">
        <f>J8*J10</f>
        <v>163.52913590645443</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0.45245965750200501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693.66406638116439</v>
      </c>
      <c r="C26" s="247">
        <f>B26*'GWP N2O_CH4'!B5</f>
        <v>14566.945394004451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509.25616141553161</v>
      </c>
      <c r="C27" s="247">
        <f>B27*'GWP N2O_CH4'!B5</f>
        <v>10694.379389726164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9.656864488681439</v>
      </c>
      <c r="C28" s="247">
        <f>B28*'GWP N2O_CH4'!B4</f>
        <v>2993.6279914912461</v>
      </c>
      <c r="D28" s="50"/>
    </row>
    <row r="29" spans="1:4">
      <c r="A29" s="41" t="s">
        <v>277</v>
      </c>
      <c r="B29" s="247">
        <f>B34*'ha_N2O bodem landbouw'!B4</f>
        <v>19.970550498745542</v>
      </c>
      <c r="C29" s="247">
        <f>B29*'GWP N2O_CH4'!B4</f>
        <v>6190.870654611118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4.4944590935005703E-3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2.3620281304288092E-5</v>
      </c>
      <c r="C5" s="463" t="s">
        <v>211</v>
      </c>
      <c r="D5" s="448">
        <f>SUM(D6:D11)</f>
        <v>7.2620905040090891E-5</v>
      </c>
      <c r="E5" s="448">
        <f>SUM(E6:E11)</f>
        <v>2.6832862586449393E-4</v>
      </c>
      <c r="F5" s="461" t="s">
        <v>211</v>
      </c>
      <c r="G5" s="448">
        <f>SUM(G6:G11)</f>
        <v>7.4780415477423867E-2</v>
      </c>
      <c r="H5" s="448">
        <f>SUM(H6:H11)</f>
        <v>1.9180317118990448E-2</v>
      </c>
      <c r="I5" s="463" t="s">
        <v>211</v>
      </c>
      <c r="J5" s="463" t="s">
        <v>211</v>
      </c>
      <c r="K5" s="463" t="s">
        <v>211</v>
      </c>
      <c r="L5" s="463" t="s">
        <v>211</v>
      </c>
      <c r="M5" s="448">
        <f>SUM(M6:M11)</f>
        <v>2.9307714984384415E-3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6.8452741939943779E-6</v>
      </c>
      <c r="C6" s="449"/>
      <c r="D6" s="962">
        <f>vkm_2011_GW_PW*SUMIFS(TableVerdeelsleutelVkm[CNG],TableVerdeelsleutelVkm[Voertuigtype],"Lichte voertuigen")*SUMIFS(TableECFTransport[EnergieConsumptieFactor (PJ per km)],TableECFTransport[Index],CONCATENATE($A6,"_CNG_CNG"))</f>
        <v>1.3601679728948145E-5</v>
      </c>
      <c r="E6" s="962">
        <f>vkm_2011_GW_PW*SUMIFS(TableVerdeelsleutelVkm[LPG],TableVerdeelsleutelVkm[Voertuigtype],"Lichte voertuigen")*SUMIFS(TableECFTransport[EnergieConsumptieFactor (PJ per km)],TableECFTransport[Index],CONCATENATE($A6,"_LPG_LPG"))</f>
        <v>5.3527485570079287E-5</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1.2726999433437634E-2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3.6823839001144136E-3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5.1133153731960067E-4</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7.6860555916273086E-3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2.4829242544909505E-6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2.4217585144247495E-4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1.6775007110293712E-5</v>
      </c>
      <c r="C8" s="449"/>
      <c r="D8" s="451">
        <f>vkm_2011_NGW_PW*SUMIFS(TableVerdeelsleutelVkm[CNG],TableVerdeelsleutelVkm[Voertuigtype],"Lichte voertuigen")*SUMIFS(TableECFTransport[EnergieConsumptieFactor (PJ per km)],TableECFTransport[Index],CONCATENATE($A8,"_CNG_CNG"))</f>
        <v>5.9019225311142741E-5</v>
      </c>
      <c r="E8" s="451">
        <f>vkm_2011_NGW_PW*SUMIFS(TableVerdeelsleutelVkm[LPG],TableVerdeelsleutelVkm[Voertuigtype],"Lichte voertuigen")*SUMIFS(TableECFTransport[EnergieConsumptieFactor (PJ per km)],TableECFTransport[Index],CONCATENATE($A8,"_LPG_LPG"))</f>
        <v>2.1480114029441465E-4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4.7691891425253909E-2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1.5493410882231761E-2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1.9669338052919101E-3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6.675469027105016E-3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2.0394123897857377E-6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2.1033030438445579E-4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6.5611892511911369</v>
      </c>
      <c r="C14" s="21"/>
      <c r="D14" s="21">
        <f t="shared" ref="D14:M14" si="0">((D5)*10^9/3600)+D12</f>
        <v>20.17247362224747</v>
      </c>
      <c r="E14" s="21">
        <f t="shared" si="0"/>
        <v>74.535729406803881</v>
      </c>
      <c r="F14" s="21"/>
      <c r="G14" s="21">
        <f t="shared" si="0"/>
        <v>20772.337632617739</v>
      </c>
      <c r="H14" s="21">
        <f t="shared" si="0"/>
        <v>5327.8658663862352</v>
      </c>
      <c r="I14" s="21"/>
      <c r="J14" s="21"/>
      <c r="K14" s="21"/>
      <c r="L14" s="21"/>
      <c r="M14" s="21">
        <f t="shared" si="0"/>
        <v>814.10319401067829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0.20005452041753738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1.312595569015744</v>
      </c>
      <c r="C18" s="23"/>
      <c r="D18" s="23">
        <f t="shared" ref="D18:M18" si="1">D14*D16</f>
        <v>4.0748396716939892</v>
      </c>
      <c r="E18" s="23">
        <f t="shared" si="1"/>
        <v>16.919610575344482</v>
      </c>
      <c r="F18" s="23"/>
      <c r="G18" s="23">
        <f t="shared" si="1"/>
        <v>5546.2141479089369</v>
      </c>
      <c r="H18" s="23">
        <f t="shared" si="1"/>
        <v>1326.6386007301726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7.8151788626756825E-4</v>
      </c>
      <c r="H50" s="321">
        <f t="shared" si="2"/>
        <v>0</v>
      </c>
      <c r="I50" s="321">
        <f t="shared" si="2"/>
        <v>0</v>
      </c>
      <c r="J50" s="321">
        <f t="shared" si="2"/>
        <v>0</v>
      </c>
      <c r="K50" s="321">
        <f t="shared" si="2"/>
        <v>0</v>
      </c>
      <c r="L50" s="321">
        <f t="shared" si="2"/>
        <v>0</v>
      </c>
      <c r="M50" s="321">
        <f t="shared" si="2"/>
        <v>2.4240936434203253E-5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7.8151788626756825E-4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2.4240936434203253E-5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217.08830174099117</v>
      </c>
      <c r="H54" s="21">
        <f t="shared" si="3"/>
        <v>0</v>
      </c>
      <c r="I54" s="21">
        <f t="shared" si="3"/>
        <v>0</v>
      </c>
      <c r="J54" s="21">
        <f t="shared" si="3"/>
        <v>0</v>
      </c>
      <c r="K54" s="21">
        <f t="shared" si="3"/>
        <v>0</v>
      </c>
      <c r="L54" s="21">
        <f t="shared" si="3"/>
        <v>0</v>
      </c>
      <c r="M54" s="21">
        <f t="shared" si="3"/>
        <v>6.7335934539453479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0.20005452041753738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57.962576564844646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2990.2795448444817</v>
      </c>
      <c r="C6" s="1203"/>
      <c r="D6" s="1188"/>
      <c r="E6" s="1188"/>
      <c r="F6" s="1206"/>
      <c r="G6" s="1209"/>
      <c r="H6" s="1200"/>
      <c r="I6" s="1188"/>
      <c r="J6" s="1188"/>
      <c r="K6" s="1188"/>
      <c r="L6" s="1192"/>
      <c r="M6" s="575"/>
      <c r="N6" s="1166"/>
      <c r="O6" s="1167"/>
      <c r="Q6" s="573"/>
      <c r="R6" s="1154"/>
      <c r="S6" s="115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2990.2795448444817</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9413.741</v>
      </c>
      <c r="D10" s="718">
        <f ca="1">tertiair!C16</f>
        <v>0</v>
      </c>
      <c r="E10" s="718">
        <f ca="1">tertiair!D16</f>
        <v>8223.283244000002</v>
      </c>
      <c r="F10" s="718">
        <f>tertiair!E16</f>
        <v>194.7950389337507</v>
      </c>
      <c r="G10" s="718">
        <f ca="1">tertiair!F16</f>
        <v>2059.7569293591382</v>
      </c>
      <c r="H10" s="718">
        <f>tertiair!G16</f>
        <v>0</v>
      </c>
      <c r="I10" s="718">
        <f>tertiair!H16</f>
        <v>0</v>
      </c>
      <c r="J10" s="718">
        <f>tertiair!I16</f>
        <v>0</v>
      </c>
      <c r="K10" s="718">
        <f>tertiair!J16</f>
        <v>0</v>
      </c>
      <c r="L10" s="718">
        <f>tertiair!K16</f>
        <v>0</v>
      </c>
      <c r="M10" s="718">
        <f ca="1">tertiair!L16</f>
        <v>0</v>
      </c>
      <c r="N10" s="718">
        <f>tertiair!M16</f>
        <v>0</v>
      </c>
      <c r="O10" s="718">
        <f ca="1">tertiair!N16</f>
        <v>494.88047291090919</v>
      </c>
      <c r="P10" s="718">
        <f>tertiair!O16</f>
        <v>3.1266666666666669</v>
      </c>
      <c r="Q10" s="719">
        <f>tertiair!P16</f>
        <v>19.066666666666666</v>
      </c>
      <c r="R10" s="721">
        <f ca="1">SUM(C10:Q10)</f>
        <v>20408.65001853713</v>
      </c>
      <c r="S10" s="67"/>
    </row>
    <row r="11" spans="1:19" s="474" customFormat="1">
      <c r="A11" s="870" t="s">
        <v>225</v>
      </c>
      <c r="B11" s="875"/>
      <c r="C11" s="718">
        <f>huishoudens!B8</f>
        <v>16240.640314808476</v>
      </c>
      <c r="D11" s="718">
        <f>huishoudens!C8</f>
        <v>0</v>
      </c>
      <c r="E11" s="718">
        <f>huishoudens!D8</f>
        <v>26193.331340000001</v>
      </c>
      <c r="F11" s="718">
        <f>huishoudens!E8</f>
        <v>6423.611441473191</v>
      </c>
      <c r="G11" s="718">
        <f>huishoudens!F8</f>
        <v>7789.4893242370927</v>
      </c>
      <c r="H11" s="718">
        <f>huishoudens!G8</f>
        <v>0</v>
      </c>
      <c r="I11" s="718">
        <f>huishoudens!H8</f>
        <v>0</v>
      </c>
      <c r="J11" s="718">
        <f>huishoudens!I8</f>
        <v>0</v>
      </c>
      <c r="K11" s="718">
        <f>huishoudens!J8</f>
        <v>1702.5019066507193</v>
      </c>
      <c r="L11" s="718">
        <f>huishoudens!K8</f>
        <v>0</v>
      </c>
      <c r="M11" s="718">
        <f>huishoudens!L8</f>
        <v>0</v>
      </c>
      <c r="N11" s="718">
        <f>huishoudens!M8</f>
        <v>0</v>
      </c>
      <c r="O11" s="718">
        <f>huishoudens!N8</f>
        <v>11060.109869718061</v>
      </c>
      <c r="P11" s="718">
        <f>huishoudens!O8</f>
        <v>181.34666666666669</v>
      </c>
      <c r="Q11" s="719">
        <f>huishoudens!P8</f>
        <v>286</v>
      </c>
      <c r="R11" s="721">
        <f>SUM(C11:Q11)</f>
        <v>69877.030863554202</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2681.32</v>
      </c>
      <c r="D13" s="718">
        <f>industrie!C18</f>
        <v>0</v>
      </c>
      <c r="E13" s="718">
        <f>industrie!D18</f>
        <v>1314.1265060000001</v>
      </c>
      <c r="F13" s="718">
        <f>industrie!E18</f>
        <v>276.8596535819608</v>
      </c>
      <c r="G13" s="718">
        <f>industrie!F18</f>
        <v>1332.251624789174</v>
      </c>
      <c r="H13" s="718">
        <f>industrie!G18</f>
        <v>0</v>
      </c>
      <c r="I13" s="718">
        <f>industrie!H18</f>
        <v>0</v>
      </c>
      <c r="J13" s="718">
        <f>industrie!I18</f>
        <v>0</v>
      </c>
      <c r="K13" s="718">
        <f>industrie!J18</f>
        <v>3.0707012239321028</v>
      </c>
      <c r="L13" s="718">
        <f>industrie!K18</f>
        <v>0</v>
      </c>
      <c r="M13" s="718">
        <f>industrie!L18</f>
        <v>0</v>
      </c>
      <c r="N13" s="718">
        <f>industrie!M18</f>
        <v>0</v>
      </c>
      <c r="O13" s="718">
        <f>industrie!N18</f>
        <v>725.83944351230195</v>
      </c>
      <c r="P13" s="718">
        <f>industrie!O18</f>
        <v>0</v>
      </c>
      <c r="Q13" s="719">
        <f>industrie!P18</f>
        <v>0</v>
      </c>
      <c r="R13" s="721">
        <f>SUM(C13:Q13)</f>
        <v>6333.467929107368</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28335.701314808473</v>
      </c>
      <c r="D15" s="723">
        <f t="shared" ref="D15:Q15" ca="1" si="0">SUM(D9:D14)</f>
        <v>0</v>
      </c>
      <c r="E15" s="723">
        <f t="shared" ca="1" si="0"/>
        <v>35730.741090000003</v>
      </c>
      <c r="F15" s="723">
        <f t="shared" si="0"/>
        <v>6895.2661339889028</v>
      </c>
      <c r="G15" s="723">
        <f t="shared" ca="1" si="0"/>
        <v>11181.497878385406</v>
      </c>
      <c r="H15" s="723">
        <f t="shared" si="0"/>
        <v>0</v>
      </c>
      <c r="I15" s="723">
        <f t="shared" si="0"/>
        <v>0</v>
      </c>
      <c r="J15" s="723">
        <f t="shared" si="0"/>
        <v>0</v>
      </c>
      <c r="K15" s="723">
        <f t="shared" si="0"/>
        <v>1705.5726078746513</v>
      </c>
      <c r="L15" s="723">
        <f t="shared" si="0"/>
        <v>0</v>
      </c>
      <c r="M15" s="723">
        <f t="shared" ca="1" si="0"/>
        <v>0</v>
      </c>
      <c r="N15" s="723">
        <f t="shared" si="0"/>
        <v>0</v>
      </c>
      <c r="O15" s="723">
        <f t="shared" ca="1" si="0"/>
        <v>12280.829786141272</v>
      </c>
      <c r="P15" s="723">
        <f t="shared" si="0"/>
        <v>184.47333333333336</v>
      </c>
      <c r="Q15" s="724">
        <f t="shared" si="0"/>
        <v>305.06666666666666</v>
      </c>
      <c r="R15" s="725">
        <f ca="1">SUM(R9:R14)</f>
        <v>96619.148811198698</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217.08830174099117</v>
      </c>
      <c r="I18" s="718">
        <f>transport!H54</f>
        <v>0</v>
      </c>
      <c r="J18" s="718">
        <f>transport!I54</f>
        <v>0</v>
      </c>
      <c r="K18" s="718">
        <f>transport!J54</f>
        <v>0</v>
      </c>
      <c r="L18" s="718">
        <f>transport!K54</f>
        <v>0</v>
      </c>
      <c r="M18" s="718">
        <f>transport!L54</f>
        <v>0</v>
      </c>
      <c r="N18" s="718">
        <f>transport!M54</f>
        <v>6.7335934539453479</v>
      </c>
      <c r="O18" s="718">
        <f>transport!N54</f>
        <v>0</v>
      </c>
      <c r="P18" s="718">
        <f>transport!O54</f>
        <v>0</v>
      </c>
      <c r="Q18" s="719">
        <f>transport!P54</f>
        <v>0</v>
      </c>
      <c r="R18" s="721">
        <f>SUM(C18:Q18)</f>
        <v>223.82189519493653</v>
      </c>
      <c r="S18" s="67"/>
    </row>
    <row r="19" spans="1:19" s="474" customFormat="1" ht="15" thickBot="1">
      <c r="A19" s="870" t="s">
        <v>307</v>
      </c>
      <c r="B19" s="875"/>
      <c r="C19" s="727">
        <f>transport!B14</f>
        <v>6.5611892511911369</v>
      </c>
      <c r="D19" s="727">
        <f>transport!C14</f>
        <v>0</v>
      </c>
      <c r="E19" s="727">
        <f>transport!D14</f>
        <v>20.17247362224747</v>
      </c>
      <c r="F19" s="727">
        <f>transport!E14</f>
        <v>74.535729406803881</v>
      </c>
      <c r="G19" s="727">
        <f>transport!F14</f>
        <v>0</v>
      </c>
      <c r="H19" s="727">
        <f>transport!G14</f>
        <v>20772.337632617739</v>
      </c>
      <c r="I19" s="727">
        <f>transport!H14</f>
        <v>5327.8658663862352</v>
      </c>
      <c r="J19" s="727">
        <f>transport!I14</f>
        <v>0</v>
      </c>
      <c r="K19" s="727">
        <f>transport!J14</f>
        <v>0</v>
      </c>
      <c r="L19" s="727">
        <f>transport!K14</f>
        <v>0</v>
      </c>
      <c r="M19" s="727">
        <f>transport!L14</f>
        <v>0</v>
      </c>
      <c r="N19" s="727">
        <f>transport!M14</f>
        <v>814.10319401067829</v>
      </c>
      <c r="O19" s="727">
        <f>transport!N14</f>
        <v>0</v>
      </c>
      <c r="P19" s="727">
        <f>transport!O14</f>
        <v>0</v>
      </c>
      <c r="Q19" s="728">
        <f>transport!P14</f>
        <v>0</v>
      </c>
      <c r="R19" s="729">
        <f>SUM(C19:Q19)</f>
        <v>27015.576085294895</v>
      </c>
      <c r="S19" s="67"/>
    </row>
    <row r="20" spans="1:19" s="474" customFormat="1" ht="15.75" thickBot="1">
      <c r="A20" s="730" t="s">
        <v>230</v>
      </c>
      <c r="B20" s="878"/>
      <c r="C20" s="873">
        <f>SUM(C17:C19)</f>
        <v>6.5611892511911369</v>
      </c>
      <c r="D20" s="731">
        <f t="shared" ref="D20:R20" si="1">SUM(D17:D19)</f>
        <v>0</v>
      </c>
      <c r="E20" s="731">
        <f t="shared" si="1"/>
        <v>20.17247362224747</v>
      </c>
      <c r="F20" s="731">
        <f t="shared" si="1"/>
        <v>74.535729406803881</v>
      </c>
      <c r="G20" s="731">
        <f t="shared" si="1"/>
        <v>0</v>
      </c>
      <c r="H20" s="731">
        <f t="shared" si="1"/>
        <v>20989.425934358729</v>
      </c>
      <c r="I20" s="731">
        <f t="shared" si="1"/>
        <v>5327.8658663862352</v>
      </c>
      <c r="J20" s="731">
        <f t="shared" si="1"/>
        <v>0</v>
      </c>
      <c r="K20" s="731">
        <f t="shared" si="1"/>
        <v>0</v>
      </c>
      <c r="L20" s="731">
        <f t="shared" si="1"/>
        <v>0</v>
      </c>
      <c r="M20" s="731">
        <f t="shared" si="1"/>
        <v>0</v>
      </c>
      <c r="N20" s="731">
        <f t="shared" si="1"/>
        <v>820.83678746462363</v>
      </c>
      <c r="O20" s="731">
        <f t="shared" si="1"/>
        <v>0</v>
      </c>
      <c r="P20" s="731">
        <f t="shared" si="1"/>
        <v>0</v>
      </c>
      <c r="Q20" s="732">
        <f t="shared" si="1"/>
        <v>0</v>
      </c>
      <c r="R20" s="733">
        <f t="shared" si="1"/>
        <v>27239.39798048983</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3208.7829999999999</v>
      </c>
      <c r="D22" s="727">
        <f>+landbouw!C8</f>
        <v>0</v>
      </c>
      <c r="E22" s="727">
        <f>+landbouw!D8</f>
        <v>83.470178000000004</v>
      </c>
      <c r="F22" s="727">
        <f>+landbouw!E8</f>
        <v>82.742193267688748</v>
      </c>
      <c r="G22" s="727">
        <f>+landbouw!F8</f>
        <v>11728.712948037684</v>
      </c>
      <c r="H22" s="727">
        <f>+landbouw!G8</f>
        <v>0</v>
      </c>
      <c r="I22" s="727">
        <f>+landbouw!H8</f>
        <v>0</v>
      </c>
      <c r="J22" s="727">
        <f>+landbouw!I8</f>
        <v>0</v>
      </c>
      <c r="K22" s="727">
        <f>+landbouw!J8</f>
        <v>461.94671160015378</v>
      </c>
      <c r="L22" s="727">
        <f>+landbouw!K8</f>
        <v>0</v>
      </c>
      <c r="M22" s="727">
        <f>+landbouw!L8</f>
        <v>0</v>
      </c>
      <c r="N22" s="727">
        <f>+landbouw!M8</f>
        <v>0</v>
      </c>
      <c r="O22" s="727">
        <f>+landbouw!N8</f>
        <v>0</v>
      </c>
      <c r="P22" s="727">
        <f>+landbouw!O8</f>
        <v>0</v>
      </c>
      <c r="Q22" s="728">
        <f>+landbouw!P8</f>
        <v>0</v>
      </c>
      <c r="R22" s="729">
        <f>SUM(C22:Q22)</f>
        <v>15565.655030905527</v>
      </c>
      <c r="S22" s="67"/>
    </row>
    <row r="23" spans="1:19" s="474" customFormat="1" ht="17.25" thickTop="1" thickBot="1">
      <c r="A23" s="734" t="s">
        <v>116</v>
      </c>
      <c r="B23" s="864"/>
      <c r="C23" s="735">
        <f ca="1">C20+C15+C22</f>
        <v>31551.045504059664</v>
      </c>
      <c r="D23" s="735">
        <f t="shared" ref="D23:Q23" ca="1" si="2">D20+D15+D22</f>
        <v>0</v>
      </c>
      <c r="E23" s="735">
        <f t="shared" ca="1" si="2"/>
        <v>35834.383741622252</v>
      </c>
      <c r="F23" s="735">
        <f t="shared" si="2"/>
        <v>7052.5440566633952</v>
      </c>
      <c r="G23" s="735">
        <f t="shared" ca="1" si="2"/>
        <v>22910.210826423092</v>
      </c>
      <c r="H23" s="735">
        <f t="shared" si="2"/>
        <v>20989.425934358729</v>
      </c>
      <c r="I23" s="735">
        <f t="shared" si="2"/>
        <v>5327.8658663862352</v>
      </c>
      <c r="J23" s="735">
        <f t="shared" si="2"/>
        <v>0</v>
      </c>
      <c r="K23" s="735">
        <f t="shared" si="2"/>
        <v>2167.5193194748053</v>
      </c>
      <c r="L23" s="735">
        <f t="shared" si="2"/>
        <v>0</v>
      </c>
      <c r="M23" s="735">
        <f t="shared" ca="1" si="2"/>
        <v>0</v>
      </c>
      <c r="N23" s="735">
        <f t="shared" si="2"/>
        <v>820.83678746462363</v>
      </c>
      <c r="O23" s="735">
        <f t="shared" ca="1" si="2"/>
        <v>12280.829786141272</v>
      </c>
      <c r="P23" s="735">
        <f t="shared" si="2"/>
        <v>184.47333333333336</v>
      </c>
      <c r="Q23" s="736">
        <f t="shared" si="2"/>
        <v>305.06666666666666</v>
      </c>
      <c r="R23" s="737">
        <f ca="1">R20+R15+R22</f>
        <v>139424.20182259404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1883.2614410899087</v>
      </c>
      <c r="D36" s="718">
        <f ca="1">tertiair!C20</f>
        <v>0</v>
      </c>
      <c r="E36" s="718">
        <f ca="1">tertiair!D20</f>
        <v>1661.1032152880005</v>
      </c>
      <c r="F36" s="718">
        <f>tertiair!E20</f>
        <v>44.218473837961412</v>
      </c>
      <c r="G36" s="718">
        <f ca="1">tertiair!F20</f>
        <v>549.95510013888997</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4138.5382303547613</v>
      </c>
    </row>
    <row r="37" spans="1:18">
      <c r="A37" s="885" t="s">
        <v>225</v>
      </c>
      <c r="B37" s="892"/>
      <c r="C37" s="718">
        <f ca="1">huishoudens!B12</f>
        <v>3249.0135094527327</v>
      </c>
      <c r="D37" s="718">
        <f ca="1">huishoudens!C12</f>
        <v>0</v>
      </c>
      <c r="E37" s="718">
        <f>huishoudens!D12</f>
        <v>5291.0529306800008</v>
      </c>
      <c r="F37" s="718">
        <f>huishoudens!E12</f>
        <v>1458.1597972144143</v>
      </c>
      <c r="G37" s="718">
        <f>huishoudens!F12</f>
        <v>2079.7936495713038</v>
      </c>
      <c r="H37" s="718">
        <f>huishoudens!G12</f>
        <v>0</v>
      </c>
      <c r="I37" s="718">
        <f>huishoudens!H12</f>
        <v>0</v>
      </c>
      <c r="J37" s="718">
        <f>huishoudens!I12</f>
        <v>0</v>
      </c>
      <c r="K37" s="718">
        <f>huishoudens!J12</f>
        <v>602.68567495435457</v>
      </c>
      <c r="L37" s="718">
        <f>huishoudens!K12</f>
        <v>0</v>
      </c>
      <c r="M37" s="718">
        <f>huishoudens!L12</f>
        <v>0</v>
      </c>
      <c r="N37" s="718">
        <f>huishoudens!M12</f>
        <v>0</v>
      </c>
      <c r="O37" s="718">
        <f>huishoudens!N12</f>
        <v>0</v>
      </c>
      <c r="P37" s="718">
        <f>huishoudens!O12</f>
        <v>0</v>
      </c>
      <c r="Q37" s="828">
        <f>huishoudens!P12</f>
        <v>0</v>
      </c>
      <c r="R37" s="917">
        <f ca="1">SUM(C37:Q37)</f>
        <v>12680.705561872806</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536.41018668595132</v>
      </c>
      <c r="D39" s="718">
        <f ca="1">industrie!C22</f>
        <v>0</v>
      </c>
      <c r="E39" s="718">
        <f>industrie!D22</f>
        <v>265.45355421200003</v>
      </c>
      <c r="F39" s="718">
        <f>industrie!E22</f>
        <v>62.847141363105102</v>
      </c>
      <c r="G39" s="718">
        <f>industrie!F22</f>
        <v>355.71118381870946</v>
      </c>
      <c r="H39" s="718">
        <f>industrie!G22</f>
        <v>0</v>
      </c>
      <c r="I39" s="718">
        <f>industrie!H22</f>
        <v>0</v>
      </c>
      <c r="J39" s="718">
        <f>industrie!I22</f>
        <v>0</v>
      </c>
      <c r="K39" s="718">
        <f>industrie!J22</f>
        <v>1.0870282332719643</v>
      </c>
      <c r="L39" s="718">
        <f>industrie!K22</f>
        <v>0</v>
      </c>
      <c r="M39" s="718">
        <f>industrie!L22</f>
        <v>0</v>
      </c>
      <c r="N39" s="718">
        <f>industrie!M22</f>
        <v>0</v>
      </c>
      <c r="O39" s="718">
        <f>industrie!N22</f>
        <v>0</v>
      </c>
      <c r="P39" s="718">
        <f>industrie!O22</f>
        <v>0</v>
      </c>
      <c r="Q39" s="828">
        <f>industrie!P22</f>
        <v>0</v>
      </c>
      <c r="R39" s="918">
        <f ca="1">SUM(C39:Q39)</f>
        <v>1221.5090943130378</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5668.6851372285928</v>
      </c>
      <c r="D41" s="763">
        <f t="shared" ref="D41:R41" ca="1" si="4">SUM(D35:D40)</f>
        <v>0</v>
      </c>
      <c r="E41" s="763">
        <f t="shared" ca="1" si="4"/>
        <v>7217.6097001800017</v>
      </c>
      <c r="F41" s="763">
        <f t="shared" si="4"/>
        <v>1565.2254124154808</v>
      </c>
      <c r="G41" s="763">
        <f t="shared" ca="1" si="4"/>
        <v>2985.4599335289031</v>
      </c>
      <c r="H41" s="763">
        <f t="shared" si="4"/>
        <v>0</v>
      </c>
      <c r="I41" s="763">
        <f t="shared" si="4"/>
        <v>0</v>
      </c>
      <c r="J41" s="763">
        <f t="shared" si="4"/>
        <v>0</v>
      </c>
      <c r="K41" s="763">
        <f t="shared" si="4"/>
        <v>603.77270318762658</v>
      </c>
      <c r="L41" s="763">
        <f t="shared" si="4"/>
        <v>0</v>
      </c>
      <c r="M41" s="763">
        <f t="shared" ca="1" si="4"/>
        <v>0</v>
      </c>
      <c r="N41" s="763">
        <f t="shared" si="4"/>
        <v>0</v>
      </c>
      <c r="O41" s="763">
        <f t="shared" ca="1" si="4"/>
        <v>0</v>
      </c>
      <c r="P41" s="763">
        <f t="shared" si="4"/>
        <v>0</v>
      </c>
      <c r="Q41" s="764">
        <f t="shared" si="4"/>
        <v>0</v>
      </c>
      <c r="R41" s="765">
        <f t="shared" ca="1" si="4"/>
        <v>18040.752886540606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57.962576564844646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57.962576564844646</v>
      </c>
    </row>
    <row r="45" spans="1:18" ht="15" thickBot="1">
      <c r="A45" s="888" t="s">
        <v>307</v>
      </c>
      <c r="B45" s="898"/>
      <c r="C45" s="727">
        <f ca="1">transport!B18</f>
        <v>1.312595569015744</v>
      </c>
      <c r="D45" s="727">
        <f>transport!C18</f>
        <v>0</v>
      </c>
      <c r="E45" s="727">
        <f>transport!D18</f>
        <v>4.0748396716939892</v>
      </c>
      <c r="F45" s="727">
        <f>transport!E18</f>
        <v>16.919610575344482</v>
      </c>
      <c r="G45" s="727">
        <f>transport!F18</f>
        <v>0</v>
      </c>
      <c r="H45" s="727">
        <f>transport!G18</f>
        <v>5546.2141479089369</v>
      </c>
      <c r="I45" s="727">
        <f>transport!H18</f>
        <v>1326.6386007301726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6895.159794455164</v>
      </c>
    </row>
    <row r="46" spans="1:18" ht="15.75" thickBot="1">
      <c r="A46" s="886" t="s">
        <v>230</v>
      </c>
      <c r="B46" s="899"/>
      <c r="C46" s="763">
        <f t="shared" ref="C46:R46" ca="1" si="5">SUM(C43:C45)</f>
        <v>1.312595569015744</v>
      </c>
      <c r="D46" s="763">
        <f t="shared" ca="1" si="5"/>
        <v>0</v>
      </c>
      <c r="E46" s="763">
        <f t="shared" si="5"/>
        <v>4.0748396716939892</v>
      </c>
      <c r="F46" s="763">
        <f t="shared" si="5"/>
        <v>16.919610575344482</v>
      </c>
      <c r="G46" s="763">
        <f t="shared" si="5"/>
        <v>0</v>
      </c>
      <c r="H46" s="763">
        <f t="shared" si="5"/>
        <v>5604.1767244737812</v>
      </c>
      <c r="I46" s="763">
        <f t="shared" si="5"/>
        <v>1326.6386007301726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6953.1223710200084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641.93154418894687</v>
      </c>
      <c r="D48" s="718">
        <f ca="1">+landbouw!C12</f>
        <v>0</v>
      </c>
      <c r="E48" s="718">
        <f>+landbouw!D12</f>
        <v>16.860975956000001</v>
      </c>
      <c r="F48" s="718">
        <f>+landbouw!E12</f>
        <v>18.782477871765348</v>
      </c>
      <c r="G48" s="718">
        <f>+landbouw!F12</f>
        <v>3131.566357126062</v>
      </c>
      <c r="H48" s="718">
        <f>+landbouw!G12</f>
        <v>0</v>
      </c>
      <c r="I48" s="718">
        <f>+landbouw!H12</f>
        <v>0</v>
      </c>
      <c r="J48" s="718">
        <f>+landbouw!I12</f>
        <v>0</v>
      </c>
      <c r="K48" s="718">
        <f>+landbouw!J12</f>
        <v>163.52913590645443</v>
      </c>
      <c r="L48" s="718">
        <f>+landbouw!K12</f>
        <v>0</v>
      </c>
      <c r="M48" s="718">
        <f>+landbouw!L12</f>
        <v>0</v>
      </c>
      <c r="N48" s="718">
        <f>+landbouw!M12</f>
        <v>0</v>
      </c>
      <c r="O48" s="718">
        <f>+landbouw!N12</f>
        <v>0</v>
      </c>
      <c r="P48" s="718">
        <f>+landbouw!O12</f>
        <v>0</v>
      </c>
      <c r="Q48" s="719">
        <f>+landbouw!P12</f>
        <v>0</v>
      </c>
      <c r="R48" s="761">
        <f ca="1">SUM(C48:Q48)</f>
        <v>3972.6704910492285</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6311.9292769865551</v>
      </c>
      <c r="D53" s="773">
        <f t="shared" ref="D53:Q53" ca="1" si="6">D41+D46+D48</f>
        <v>0</v>
      </c>
      <c r="E53" s="773">
        <f t="shared" ca="1" si="6"/>
        <v>7238.5455158076957</v>
      </c>
      <c r="F53" s="773">
        <f t="shared" si="6"/>
        <v>1600.9275008625907</v>
      </c>
      <c r="G53" s="773">
        <f t="shared" ca="1" si="6"/>
        <v>6117.0262906549651</v>
      </c>
      <c r="H53" s="773">
        <f t="shared" si="6"/>
        <v>5604.1767244737812</v>
      </c>
      <c r="I53" s="773">
        <f t="shared" si="6"/>
        <v>1326.6386007301726</v>
      </c>
      <c r="J53" s="773">
        <f t="shared" si="6"/>
        <v>0</v>
      </c>
      <c r="K53" s="773">
        <f t="shared" si="6"/>
        <v>767.30183909408106</v>
      </c>
      <c r="L53" s="773">
        <f t="shared" si="6"/>
        <v>0</v>
      </c>
      <c r="M53" s="773">
        <f t="shared" ca="1" si="6"/>
        <v>0</v>
      </c>
      <c r="N53" s="773">
        <f t="shared" si="6"/>
        <v>0</v>
      </c>
      <c r="O53" s="773">
        <f t="shared" ca="1" si="6"/>
        <v>0</v>
      </c>
      <c r="P53" s="773">
        <f>P41+P46+P48</f>
        <v>0</v>
      </c>
      <c r="Q53" s="774">
        <f t="shared" si="6"/>
        <v>0</v>
      </c>
      <c r="R53" s="775">
        <f ca="1">R41+R46+R48</f>
        <v>28966.545748609842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0.20005452041753738</v>
      </c>
      <c r="D55" s="836">
        <f t="shared" ca="1" si="7"/>
        <v>0</v>
      </c>
      <c r="E55" s="836">
        <f t="shared" ca="1" si="7"/>
        <v>0.20200000000000001</v>
      </c>
      <c r="F55" s="836">
        <f t="shared" si="7"/>
        <v>0.22700000000000001</v>
      </c>
      <c r="G55" s="836">
        <f t="shared" ca="1" si="7"/>
        <v>0.26699999999999996</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2990.2795448444817</v>
      </c>
      <c r="C66" s="795">
        <f>'lokale energieproductie'!B6</f>
        <v>2990.2795448444817</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2990.2795448444817</v>
      </c>
      <c r="C69" s="803">
        <f>SUM(C64:C68)</f>
        <v>2990.2795448444817</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16240.640314808476</v>
      </c>
      <c r="C4" s="478">
        <f>huishoudens!C8</f>
        <v>0</v>
      </c>
      <c r="D4" s="478">
        <f>huishoudens!D8</f>
        <v>26193.331340000001</v>
      </c>
      <c r="E4" s="478">
        <f>huishoudens!E8</f>
        <v>6423.611441473191</v>
      </c>
      <c r="F4" s="478">
        <f>huishoudens!F8</f>
        <v>7789.4893242370927</v>
      </c>
      <c r="G4" s="478">
        <f>huishoudens!G8</f>
        <v>0</v>
      </c>
      <c r="H4" s="478">
        <f>huishoudens!H8</f>
        <v>0</v>
      </c>
      <c r="I4" s="478">
        <f>huishoudens!I8</f>
        <v>0</v>
      </c>
      <c r="J4" s="478">
        <f>huishoudens!J8</f>
        <v>1702.5019066507193</v>
      </c>
      <c r="K4" s="478">
        <f>huishoudens!K8</f>
        <v>0</v>
      </c>
      <c r="L4" s="478">
        <f>huishoudens!L8</f>
        <v>0</v>
      </c>
      <c r="M4" s="478">
        <f>huishoudens!M8</f>
        <v>0</v>
      </c>
      <c r="N4" s="478">
        <f>huishoudens!N8</f>
        <v>11060.109869718061</v>
      </c>
      <c r="O4" s="478">
        <f>huishoudens!O8</f>
        <v>181.34666666666669</v>
      </c>
      <c r="P4" s="479">
        <f>huishoudens!P8</f>
        <v>286</v>
      </c>
      <c r="Q4" s="480">
        <f>SUM(B4:P4)</f>
        <v>69877.030863554202</v>
      </c>
    </row>
    <row r="5" spans="1:17">
      <c r="A5" s="477" t="s">
        <v>156</v>
      </c>
      <c r="B5" s="478">
        <f ca="1">tertiair!B16</f>
        <v>8643.4390000000003</v>
      </c>
      <c r="C5" s="478">
        <f ca="1">tertiair!C16</f>
        <v>0</v>
      </c>
      <c r="D5" s="478">
        <f ca="1">tertiair!D16</f>
        <v>8223.283244000002</v>
      </c>
      <c r="E5" s="478">
        <f>tertiair!E16</f>
        <v>194.7950389337507</v>
      </c>
      <c r="F5" s="478">
        <f ca="1">tertiair!F16</f>
        <v>2059.7569293591382</v>
      </c>
      <c r="G5" s="478">
        <f>tertiair!G16</f>
        <v>0</v>
      </c>
      <c r="H5" s="478">
        <f>tertiair!H16</f>
        <v>0</v>
      </c>
      <c r="I5" s="478">
        <f>tertiair!I16</f>
        <v>0</v>
      </c>
      <c r="J5" s="478">
        <f>tertiair!J16</f>
        <v>0</v>
      </c>
      <c r="K5" s="478">
        <f>tertiair!K16</f>
        <v>0</v>
      </c>
      <c r="L5" s="478">
        <f ca="1">tertiair!L16</f>
        <v>0</v>
      </c>
      <c r="M5" s="478">
        <f>tertiair!M16</f>
        <v>0</v>
      </c>
      <c r="N5" s="478">
        <f ca="1">tertiair!N16</f>
        <v>494.88047291090919</v>
      </c>
      <c r="O5" s="478">
        <f>tertiair!O16</f>
        <v>3.1266666666666669</v>
      </c>
      <c r="P5" s="479">
        <f>tertiair!P16</f>
        <v>19.066666666666666</v>
      </c>
      <c r="Q5" s="477">
        <f t="shared" ref="Q5:Q13" ca="1" si="0">SUM(B5:P5)</f>
        <v>19638.348018537134</v>
      </c>
    </row>
    <row r="6" spans="1:17">
      <c r="A6" s="477" t="s">
        <v>194</v>
      </c>
      <c r="B6" s="478">
        <f>'openbare verlichting'!B8</f>
        <v>770.30200000000002</v>
      </c>
      <c r="C6" s="478"/>
      <c r="D6" s="478"/>
      <c r="E6" s="478"/>
      <c r="F6" s="478"/>
      <c r="G6" s="478"/>
      <c r="H6" s="478"/>
      <c r="I6" s="478"/>
      <c r="J6" s="478"/>
      <c r="K6" s="478"/>
      <c r="L6" s="478"/>
      <c r="M6" s="478"/>
      <c r="N6" s="478"/>
      <c r="O6" s="478"/>
      <c r="P6" s="479"/>
      <c r="Q6" s="477">
        <f t="shared" si="0"/>
        <v>770.30200000000002</v>
      </c>
    </row>
    <row r="7" spans="1:17">
      <c r="A7" s="477" t="s">
        <v>112</v>
      </c>
      <c r="B7" s="478">
        <f>landbouw!B8</f>
        <v>3208.7829999999999</v>
      </c>
      <c r="C7" s="478">
        <f>landbouw!C8</f>
        <v>0</v>
      </c>
      <c r="D7" s="478">
        <f>landbouw!D8</f>
        <v>83.470178000000004</v>
      </c>
      <c r="E7" s="478">
        <f>landbouw!E8</f>
        <v>82.742193267688748</v>
      </c>
      <c r="F7" s="478">
        <f>landbouw!F8</f>
        <v>11728.712948037684</v>
      </c>
      <c r="G7" s="478">
        <f>landbouw!G8</f>
        <v>0</v>
      </c>
      <c r="H7" s="478">
        <f>landbouw!H8</f>
        <v>0</v>
      </c>
      <c r="I7" s="478">
        <f>landbouw!I8</f>
        <v>0</v>
      </c>
      <c r="J7" s="478">
        <f>landbouw!J8</f>
        <v>461.94671160015378</v>
      </c>
      <c r="K7" s="478">
        <f>landbouw!K8</f>
        <v>0</v>
      </c>
      <c r="L7" s="478">
        <f>landbouw!L8</f>
        <v>0</v>
      </c>
      <c r="M7" s="478">
        <f>landbouw!M8</f>
        <v>0</v>
      </c>
      <c r="N7" s="478">
        <f>landbouw!N8</f>
        <v>0</v>
      </c>
      <c r="O7" s="478">
        <f>landbouw!O8</f>
        <v>0</v>
      </c>
      <c r="P7" s="479">
        <f>landbouw!P8</f>
        <v>0</v>
      </c>
      <c r="Q7" s="477">
        <f t="shared" si="0"/>
        <v>15565.655030905527</v>
      </c>
    </row>
    <row r="8" spans="1:17">
      <c r="A8" s="477" t="s">
        <v>638</v>
      </c>
      <c r="B8" s="478">
        <f>industrie!B18</f>
        <v>2681.32</v>
      </c>
      <c r="C8" s="478">
        <f>industrie!C18</f>
        <v>0</v>
      </c>
      <c r="D8" s="478">
        <f>industrie!D18</f>
        <v>1314.1265060000001</v>
      </c>
      <c r="E8" s="478">
        <f>industrie!E18</f>
        <v>276.8596535819608</v>
      </c>
      <c r="F8" s="478">
        <f>industrie!F18</f>
        <v>1332.251624789174</v>
      </c>
      <c r="G8" s="478">
        <f>industrie!G18</f>
        <v>0</v>
      </c>
      <c r="H8" s="478">
        <f>industrie!H18</f>
        <v>0</v>
      </c>
      <c r="I8" s="478">
        <f>industrie!I18</f>
        <v>0</v>
      </c>
      <c r="J8" s="478">
        <f>industrie!J18</f>
        <v>3.0707012239321028</v>
      </c>
      <c r="K8" s="478">
        <f>industrie!K18</f>
        <v>0</v>
      </c>
      <c r="L8" s="478">
        <f>industrie!L18</f>
        <v>0</v>
      </c>
      <c r="M8" s="478">
        <f>industrie!M18</f>
        <v>0</v>
      </c>
      <c r="N8" s="478">
        <f>industrie!N18</f>
        <v>725.83944351230195</v>
      </c>
      <c r="O8" s="478">
        <f>industrie!O18</f>
        <v>0</v>
      </c>
      <c r="P8" s="479">
        <f>industrie!P18</f>
        <v>0</v>
      </c>
      <c r="Q8" s="477">
        <f t="shared" si="0"/>
        <v>6333.467929107368</v>
      </c>
    </row>
    <row r="9" spans="1:17" s="483" customFormat="1">
      <c r="A9" s="481" t="s">
        <v>564</v>
      </c>
      <c r="B9" s="482">
        <f>transport!B14</f>
        <v>6.5611892511911369</v>
      </c>
      <c r="C9" s="482">
        <f>transport!C14</f>
        <v>0</v>
      </c>
      <c r="D9" s="482">
        <f>transport!D14</f>
        <v>20.17247362224747</v>
      </c>
      <c r="E9" s="482">
        <f>transport!E14</f>
        <v>74.535729406803881</v>
      </c>
      <c r="F9" s="482">
        <f>transport!F14</f>
        <v>0</v>
      </c>
      <c r="G9" s="482">
        <f>transport!G14</f>
        <v>20772.337632617739</v>
      </c>
      <c r="H9" s="482">
        <f>transport!H14</f>
        <v>5327.8658663862352</v>
      </c>
      <c r="I9" s="482">
        <f>transport!I14</f>
        <v>0</v>
      </c>
      <c r="J9" s="482">
        <f>transport!J14</f>
        <v>0</v>
      </c>
      <c r="K9" s="482">
        <f>transport!K14</f>
        <v>0</v>
      </c>
      <c r="L9" s="482">
        <f>transport!L14</f>
        <v>0</v>
      </c>
      <c r="M9" s="482">
        <f>transport!M14</f>
        <v>814.10319401067829</v>
      </c>
      <c r="N9" s="482">
        <f>transport!N14</f>
        <v>0</v>
      </c>
      <c r="O9" s="482">
        <f>transport!O14</f>
        <v>0</v>
      </c>
      <c r="P9" s="482">
        <f>transport!P14</f>
        <v>0</v>
      </c>
      <c r="Q9" s="481">
        <f>SUM(B9:P9)</f>
        <v>27015.576085294895</v>
      </c>
    </row>
    <row r="10" spans="1:17">
      <c r="A10" s="477" t="s">
        <v>554</v>
      </c>
      <c r="B10" s="478">
        <f>transport!B54</f>
        <v>0</v>
      </c>
      <c r="C10" s="478">
        <f>transport!C54</f>
        <v>0</v>
      </c>
      <c r="D10" s="478">
        <f>transport!D54</f>
        <v>0</v>
      </c>
      <c r="E10" s="478">
        <f>transport!E54</f>
        <v>0</v>
      </c>
      <c r="F10" s="478">
        <f>transport!F54</f>
        <v>0</v>
      </c>
      <c r="G10" s="478">
        <f>transport!G54</f>
        <v>217.08830174099117</v>
      </c>
      <c r="H10" s="478">
        <f>transport!H54</f>
        <v>0</v>
      </c>
      <c r="I10" s="478">
        <f>transport!I54</f>
        <v>0</v>
      </c>
      <c r="J10" s="478">
        <f>transport!J54</f>
        <v>0</v>
      </c>
      <c r="K10" s="478">
        <f>transport!K54</f>
        <v>0</v>
      </c>
      <c r="L10" s="478">
        <f>transport!L54</f>
        <v>0</v>
      </c>
      <c r="M10" s="478">
        <f>transport!M54</f>
        <v>6.7335934539453479</v>
      </c>
      <c r="N10" s="478">
        <f>transport!N54</f>
        <v>0</v>
      </c>
      <c r="O10" s="478">
        <f>transport!O54</f>
        <v>0</v>
      </c>
      <c r="P10" s="479">
        <f>transport!P54</f>
        <v>0</v>
      </c>
      <c r="Q10" s="477">
        <f t="shared" si="0"/>
        <v>223.82189519493653</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31551.045504059668</v>
      </c>
      <c r="C14" s="488">
        <f t="shared" ref="C14:Q14" ca="1" si="1">SUM(C4:C13)</f>
        <v>0</v>
      </c>
      <c r="D14" s="488">
        <f t="shared" ca="1" si="1"/>
        <v>35834.383741622252</v>
      </c>
      <c r="E14" s="488">
        <f t="shared" si="1"/>
        <v>7052.5440566633952</v>
      </c>
      <c r="F14" s="488">
        <f t="shared" ca="1" si="1"/>
        <v>22910.210826423088</v>
      </c>
      <c r="G14" s="488">
        <f t="shared" si="1"/>
        <v>20989.425934358729</v>
      </c>
      <c r="H14" s="488">
        <f t="shared" si="1"/>
        <v>5327.8658663862352</v>
      </c>
      <c r="I14" s="488">
        <f t="shared" si="1"/>
        <v>0</v>
      </c>
      <c r="J14" s="488">
        <f t="shared" si="1"/>
        <v>2167.5193194748053</v>
      </c>
      <c r="K14" s="488">
        <f t="shared" si="1"/>
        <v>0</v>
      </c>
      <c r="L14" s="488">
        <f t="shared" ca="1" si="1"/>
        <v>0</v>
      </c>
      <c r="M14" s="488">
        <f t="shared" si="1"/>
        <v>820.83678746462363</v>
      </c>
      <c r="N14" s="488">
        <f t="shared" ca="1" si="1"/>
        <v>12280.829786141272</v>
      </c>
      <c r="O14" s="488">
        <f t="shared" si="1"/>
        <v>184.47333333333336</v>
      </c>
      <c r="P14" s="489">
        <f t="shared" si="1"/>
        <v>305.06666666666666</v>
      </c>
      <c r="Q14" s="489">
        <f t="shared" ca="1" si="1"/>
        <v>139424.20182259407</v>
      </c>
    </row>
    <row r="16" spans="1:17">
      <c r="A16" s="491" t="s">
        <v>559</v>
      </c>
      <c r="B16" s="841">
        <f ca="1">huishoudens!B10</f>
        <v>0.20005452041753738</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3249.0135094527327</v>
      </c>
      <c r="C21" s="478">
        <f t="shared" ref="C21:C30" ca="1" si="3">C4*$C$16</f>
        <v>0</v>
      </c>
      <c r="D21" s="478">
        <f t="shared" ref="D21:D30" si="4">D4*$D$16</f>
        <v>5291.0529306800008</v>
      </c>
      <c r="E21" s="478">
        <f t="shared" ref="E21:E30" si="5">E4*$E$16</f>
        <v>1458.1597972144143</v>
      </c>
      <c r="F21" s="478">
        <f t="shared" ref="F21:F30" si="6">F4*$F$16</f>
        <v>2079.7936495713038</v>
      </c>
      <c r="G21" s="478">
        <f t="shared" ref="G21:G30" si="7">G4*$G$16</f>
        <v>0</v>
      </c>
      <c r="H21" s="478">
        <f t="shared" ref="H21:H30" si="8">H4*$H$16</f>
        <v>0</v>
      </c>
      <c r="I21" s="478">
        <f t="shared" ref="I21:I30" si="9">I4*$I$16</f>
        <v>0</v>
      </c>
      <c r="J21" s="478">
        <f t="shared" ref="J21:J30" si="10">J4*$J$16</f>
        <v>602.68567495435457</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12680.705561872806</v>
      </c>
    </row>
    <row r="22" spans="1:17">
      <c r="A22" s="477" t="s">
        <v>156</v>
      </c>
      <c r="B22" s="478">
        <f t="shared" ca="1" si="2"/>
        <v>1729.1590439032389</v>
      </c>
      <c r="C22" s="478">
        <f t="shared" ca="1" si="3"/>
        <v>0</v>
      </c>
      <c r="D22" s="478">
        <f t="shared" ca="1" si="4"/>
        <v>1661.1032152880005</v>
      </c>
      <c r="E22" s="478">
        <f t="shared" si="5"/>
        <v>44.218473837961412</v>
      </c>
      <c r="F22" s="478">
        <f t="shared" ca="1" si="6"/>
        <v>549.95510013888997</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3984.435833168091</v>
      </c>
    </row>
    <row r="23" spans="1:17">
      <c r="A23" s="477" t="s">
        <v>194</v>
      </c>
      <c r="B23" s="478">
        <f t="shared" ca="1" si="2"/>
        <v>154.10239718666989</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154.10239718666989</v>
      </c>
    </row>
    <row r="24" spans="1:17">
      <c r="A24" s="477" t="s">
        <v>112</v>
      </c>
      <c r="B24" s="478">
        <f t="shared" ca="1" si="2"/>
        <v>641.93154418894687</v>
      </c>
      <c r="C24" s="478">
        <f t="shared" ca="1" si="3"/>
        <v>0</v>
      </c>
      <c r="D24" s="478">
        <f t="shared" si="4"/>
        <v>16.860975956000001</v>
      </c>
      <c r="E24" s="478">
        <f t="shared" si="5"/>
        <v>18.782477871765348</v>
      </c>
      <c r="F24" s="478">
        <f t="shared" si="6"/>
        <v>3131.566357126062</v>
      </c>
      <c r="G24" s="478">
        <f t="shared" si="7"/>
        <v>0</v>
      </c>
      <c r="H24" s="478">
        <f t="shared" si="8"/>
        <v>0</v>
      </c>
      <c r="I24" s="478">
        <f t="shared" si="9"/>
        <v>0</v>
      </c>
      <c r="J24" s="478">
        <f t="shared" si="10"/>
        <v>163.52913590645443</v>
      </c>
      <c r="K24" s="478">
        <f t="shared" si="11"/>
        <v>0</v>
      </c>
      <c r="L24" s="478">
        <f t="shared" si="12"/>
        <v>0</v>
      </c>
      <c r="M24" s="478">
        <f t="shared" si="13"/>
        <v>0</v>
      </c>
      <c r="N24" s="478">
        <f t="shared" si="14"/>
        <v>0</v>
      </c>
      <c r="O24" s="478">
        <f t="shared" si="15"/>
        <v>0</v>
      </c>
      <c r="P24" s="479">
        <f t="shared" si="16"/>
        <v>0</v>
      </c>
      <c r="Q24" s="477">
        <f t="shared" ca="1" si="17"/>
        <v>3972.6704910492285</v>
      </c>
    </row>
    <row r="25" spans="1:17">
      <c r="A25" s="477" t="s">
        <v>638</v>
      </c>
      <c r="B25" s="478">
        <f t="shared" ca="1" si="2"/>
        <v>536.41018668595132</v>
      </c>
      <c r="C25" s="478">
        <f t="shared" ca="1" si="3"/>
        <v>0</v>
      </c>
      <c r="D25" s="478">
        <f t="shared" si="4"/>
        <v>265.45355421200003</v>
      </c>
      <c r="E25" s="478">
        <f t="shared" si="5"/>
        <v>62.847141363105102</v>
      </c>
      <c r="F25" s="478">
        <f t="shared" si="6"/>
        <v>355.71118381870946</v>
      </c>
      <c r="G25" s="478">
        <f t="shared" si="7"/>
        <v>0</v>
      </c>
      <c r="H25" s="478">
        <f t="shared" si="8"/>
        <v>0</v>
      </c>
      <c r="I25" s="478">
        <f t="shared" si="9"/>
        <v>0</v>
      </c>
      <c r="J25" s="478">
        <f t="shared" si="10"/>
        <v>1.0870282332719643</v>
      </c>
      <c r="K25" s="478">
        <f t="shared" si="11"/>
        <v>0</v>
      </c>
      <c r="L25" s="478">
        <f t="shared" si="12"/>
        <v>0</v>
      </c>
      <c r="M25" s="478">
        <f t="shared" si="13"/>
        <v>0</v>
      </c>
      <c r="N25" s="478">
        <f t="shared" si="14"/>
        <v>0</v>
      </c>
      <c r="O25" s="478">
        <f t="shared" si="15"/>
        <v>0</v>
      </c>
      <c r="P25" s="479">
        <f t="shared" si="16"/>
        <v>0</v>
      </c>
      <c r="Q25" s="477">
        <f t="shared" ca="1" si="17"/>
        <v>1221.5090943130378</v>
      </c>
    </row>
    <row r="26" spans="1:17" s="483" customFormat="1">
      <c r="A26" s="481" t="s">
        <v>564</v>
      </c>
      <c r="B26" s="835">
        <f t="shared" ca="1" si="2"/>
        <v>1.312595569015744</v>
      </c>
      <c r="C26" s="482">
        <f t="shared" ca="1" si="3"/>
        <v>0</v>
      </c>
      <c r="D26" s="482">
        <f t="shared" si="4"/>
        <v>4.0748396716939892</v>
      </c>
      <c r="E26" s="482">
        <f t="shared" si="5"/>
        <v>16.919610575344482</v>
      </c>
      <c r="F26" s="482">
        <f t="shared" si="6"/>
        <v>0</v>
      </c>
      <c r="G26" s="482">
        <f t="shared" si="7"/>
        <v>5546.2141479089369</v>
      </c>
      <c r="H26" s="482">
        <f t="shared" si="8"/>
        <v>1326.6386007301726</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6895.159794455164</v>
      </c>
    </row>
    <row r="27" spans="1:17">
      <c r="A27" s="477" t="s">
        <v>554</v>
      </c>
      <c r="B27" s="478">
        <f t="shared" ca="1" si="2"/>
        <v>0</v>
      </c>
      <c r="C27" s="478">
        <f t="shared" ca="1" si="3"/>
        <v>0</v>
      </c>
      <c r="D27" s="478">
        <f t="shared" si="4"/>
        <v>0</v>
      </c>
      <c r="E27" s="478">
        <f t="shared" si="5"/>
        <v>0</v>
      </c>
      <c r="F27" s="478">
        <f t="shared" si="6"/>
        <v>0</v>
      </c>
      <c r="G27" s="478">
        <f t="shared" si="7"/>
        <v>57.962576564844646</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57.962576564844646</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6311.9292769865542</v>
      </c>
      <c r="C31" s="488">
        <f t="shared" ca="1" si="18"/>
        <v>0</v>
      </c>
      <c r="D31" s="488">
        <f t="shared" ca="1" si="18"/>
        <v>7238.5455158076957</v>
      </c>
      <c r="E31" s="488">
        <f t="shared" si="18"/>
        <v>1600.9275008625907</v>
      </c>
      <c r="F31" s="488">
        <f t="shared" ca="1" si="18"/>
        <v>6117.0262906549651</v>
      </c>
      <c r="G31" s="488">
        <f t="shared" si="18"/>
        <v>5604.1767244737812</v>
      </c>
      <c r="H31" s="488">
        <f t="shared" si="18"/>
        <v>1326.6386007301726</v>
      </c>
      <c r="I31" s="488">
        <f t="shared" si="18"/>
        <v>0</v>
      </c>
      <c r="J31" s="488">
        <f t="shared" si="18"/>
        <v>767.30183909408095</v>
      </c>
      <c r="K31" s="488">
        <f t="shared" si="18"/>
        <v>0</v>
      </c>
      <c r="L31" s="488">
        <f t="shared" ca="1" si="18"/>
        <v>0</v>
      </c>
      <c r="M31" s="488">
        <f t="shared" si="18"/>
        <v>0</v>
      </c>
      <c r="N31" s="488">
        <f t="shared" ca="1" si="18"/>
        <v>0</v>
      </c>
      <c r="O31" s="488">
        <f t="shared" si="18"/>
        <v>0</v>
      </c>
      <c r="P31" s="489">
        <f t="shared" si="18"/>
        <v>0</v>
      </c>
      <c r="Q31" s="489">
        <f t="shared" ca="1" si="18"/>
        <v>28966.545748609846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0.20005452041753738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0.20005452041753738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0.20005452041753738</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2018-06-27T09:42:32Z</dcterms:modified>
</cp:coreProperties>
</file>