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N16" i="16"/>
  <c r="D16"/>
  <c r="D8" i="17"/>
  <c r="D6"/>
  <c r="J15" i="16"/>
  <c r="B8" i="9"/>
  <c r="B6" i="48" s="1"/>
  <c r="Q6" s="1"/>
  <c r="C16" i="15"/>
  <c r="D10" i="14" s="1"/>
  <c r="I8" i="18"/>
  <c r="J68" i="14" s="1"/>
  <c r="I14" i="15"/>
  <c r="I16" s="1"/>
  <c r="J10" i="14" s="1"/>
  <c r="J15" s="1"/>
  <c r="B13" i="16"/>
  <c r="C35"/>
  <c r="E9" i="14"/>
  <c r="D14" i="15"/>
  <c r="P22" i="16"/>
  <c r="Q39" i="14" s="1"/>
  <c r="P18" i="16"/>
  <c r="P8" i="48" s="1"/>
  <c r="P25" s="1"/>
  <c r="N6" i="17"/>
  <c r="N5" s="1"/>
  <c r="J8"/>
  <c r="K22" i="14" s="1"/>
  <c r="F8" i="17"/>
  <c r="N13" i="15"/>
  <c r="L13"/>
  <c r="L16" s="1"/>
  <c r="F13"/>
  <c r="D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Q13"/>
  <c r="E8" i="17"/>
  <c r="F22" i="14" s="1"/>
  <c r="O22" i="16"/>
  <c r="P39" i="14" s="1"/>
  <c r="O18" i="16"/>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N7" l="1"/>
  <c r="N24" s="1"/>
  <c r="H14" i="22"/>
  <c r="P41" i="14"/>
  <c r="P53" s="1"/>
  <c r="D8" i="48"/>
  <c r="D25" s="1"/>
  <c r="E16" i="15"/>
  <c r="E20" s="1"/>
  <c r="F36" i="14" s="1"/>
  <c r="J16" i="15"/>
  <c r="K10" i="14" s="1"/>
  <c r="O22"/>
  <c r="L7" i="48"/>
  <c r="L24" s="1"/>
  <c r="M22" i="14"/>
  <c r="P15"/>
  <c r="P23" s="1"/>
  <c r="P55" s="1"/>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M9" i="48"/>
  <c r="N19" i="14"/>
  <c r="N20" s="1"/>
  <c r="N23" s="1"/>
  <c r="P14" i="48"/>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0" i="13" s="1"/>
  <c r="C16" i="48" s="1"/>
  <c r="C30" s="1"/>
  <c r="F10" i="14"/>
  <c r="R10" s="1"/>
  <c r="J20" i="15"/>
  <c r="K36" i="14" s="1"/>
  <c r="M16" i="18"/>
  <c r="M19" s="1"/>
  <c r="J5" i="48"/>
  <c r="J22" s="1"/>
  <c r="E5"/>
  <c r="E22"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C18" i="15"/>
  <c r="C20" s="1"/>
  <c r="D36" i="14" s="1"/>
  <c r="C20" i="16"/>
  <c r="C22" s="1"/>
  <c r="D39" i="14" s="1"/>
  <c r="C17" i="19"/>
  <c r="C19" s="1"/>
  <c r="D35" i="14" s="1"/>
  <c r="C29" i="20"/>
  <c r="F22" i="16"/>
  <c r="G39" i="14" s="1"/>
  <c r="G41" s="1"/>
  <c r="N22" i="16"/>
  <c r="O39" i="14" s="1"/>
  <c r="O41" s="1"/>
  <c r="F8" i="48"/>
  <c r="Q4"/>
  <c r="N22"/>
  <c r="R11" i="14"/>
  <c r="J21" i="48"/>
  <c r="C17" i="49" l="1"/>
  <c r="J8" i="48"/>
  <c r="J25" s="1"/>
  <c r="C56" i="22"/>
  <c r="C58" s="1"/>
  <c r="D44" i="14" s="1"/>
  <c r="D46" s="1"/>
  <c r="C10" i="17"/>
  <c r="C12" s="1"/>
  <c r="D48" i="14" s="1"/>
  <c r="Q5" i="48"/>
  <c r="C16" i="22"/>
  <c r="O13" i="14"/>
  <c r="O15" s="1"/>
  <c r="F13"/>
  <c r="F15" s="1"/>
  <c r="F23" s="1"/>
  <c r="N25" i="48"/>
  <c r="N31" s="1"/>
  <c r="N14"/>
  <c r="E25"/>
  <c r="E31" s="1"/>
  <c r="E14"/>
  <c r="K13" i="14"/>
  <c r="K15" s="1"/>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K55" i="14"/>
  <c r="R13"/>
  <c r="R15" s="1"/>
  <c r="F25" i="48"/>
  <c r="F31" s="1"/>
  <c r="F14"/>
  <c r="Q8" l="1"/>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<sst xmlns="http://schemas.openxmlformats.org/spreadsheetml/2006/main" count="1951" uniqueCount="830">
  <si>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</si>
  <si>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</si>
  <si>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</si>
  <si>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</si>
  <si>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</si>
  <si>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</si>
  <si>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</si>
  <si>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</si>
  <si>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</si>
  <si>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</si>
  <si>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</si>
  <si>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</si>
  <si>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</si>
  <si>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</si>
  <si>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</si>
  <si>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</si>
  <si>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</si>
  <si>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</si>
  <si>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</si>
  <si>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</si>
  <si>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</si>
  <si>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</si>
  <si>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</si>
  <si>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</si>
  <si>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</si>
  <si>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</si>
  <si>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</si>
  <si>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</si>
  <si>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</si>
  <si>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</si>
  <si>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</si>
  <si>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</si>
  <si>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</si>
  <si>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</si>
  <si>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</si>
  <si>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</si>
  <si>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</si>
  <si>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</si>
  <si>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</si>
  <si>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</si>
  <si>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</si>
  <si>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</si>
  <si>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</si>
  <si>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</si>
  <si>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</si>
  <si>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</si>
  <si>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</si>
  <si>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</si>
  <si>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</si>
  <si>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</si>
  <si>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</si>
  <si>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</si>
  <si>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</si>
  <si>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</si>
  <si>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</si>
  <si>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</si>
  <si>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</si>
  <si>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</si>
  <si>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</si>
  <si>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</si>
  <si>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</si>
  <si>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</si>
  <si>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</si>
  <si>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</si>
  <si>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</si>
  <si>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</si>
  <si>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</si>
  <si>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</si>
  <si>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</si>
  <si>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</si>
  <si>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</si>
  <si>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</si>
  <si>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</si>
  <si>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</si>
  <si>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</si>
  <si>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</si>
  <si>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</si>
  <si>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</si>
  <si>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</si>
  <si>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</si>
  <si>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</si>
  <si>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</si>
  <si>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</si>
  <si>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</si>
  <si>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</si>
  <si>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</si>
  <si>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</si>
  <si>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</si>
  <si>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</si>
  <si>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</si>
  <si>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</si>
  <si>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</si>
  <si>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</si>
  <si>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</si>
  <si>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</si>
  <si>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</si>
  <si>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</si>
  <si>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</si>
  <si>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</si>
  <si>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</si>
  <si>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</si>
  <si>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</si>
  <si>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</si>
  <si>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</si>
  <si>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</si>
  <si>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</si>
  <si>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</si>
  <si>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</si>
  <si>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</si>
  <si>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</si>
  <si>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</si>
  <si>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</si>
  <si>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</si>
  <si>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</si>
  <si>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</si>
  <si>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</si>
  <si>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</si>
  <si>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</si>
  <si>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</si>
  <si>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</si>
  <si>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</si>
  <si>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</si>
  <si>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</si>
  <si>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</si>
  <si>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</si>
  <si>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</si>
  <si>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</si>
  <si>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</si>
  <si>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</si>
  <si>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</si>
  <si>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</si>
  <si>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</si>
  <si>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</si>
  <si>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</si>
  <si>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</si>
  <si>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</si>
  <si>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</si>
  <si>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</si>
  <si>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</si>
  <si>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</si>
  <si>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</si>
  <si>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</si>
  <si>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</si>
  <si>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</si>
  <si>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</si>
  <si>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</si>
  <si>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</si>
  <si>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</si>
  <si>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</si>
  <si>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</si>
  <si>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</si>
  <si>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</si>
  <si>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</si>
  <si>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</si>
  <si>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</si>
  <si>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</si>
  <si>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</si>
  <si>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</si>
  <si>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</si>
  <si>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</si>
  <si>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</si>
  <si>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</si>
  <si>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</si>
  <si>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</si>
  <si>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</si>
  <si>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</si>
  <si>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</si>
  <si>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</si>
  <si>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</si>
  <si>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</si>
  <si>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</si>
  <si>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</si>
  <si>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</si>
  <si>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</si>
  <si>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</si>
  <si>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</si>
  <si>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</si>
  <si>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</si>
  <si>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</si>
  <si>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</si>
  <si>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</si>
  <si>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</si>
  <si>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</si>
  <si>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</si>
  <si>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</si>
  <si>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</si>
  <si>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</si>
  <si>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</si>
  <si>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</si>
  <si>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</si>
  <si>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</si>
  <si>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</si>
  <si>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</si>
  <si>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</si>
  <si>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</si>
  <si>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</si>
  <si>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</si>
  <si>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</si>
  <si>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</si>
  <si>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</si>
  <si>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</si>
  <si>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</si>
  <si>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</si>
  <si>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</si>
  <si>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</si>
  <si>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</si>
  <si>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</si>
  <si>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</si>
  <si>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</si>
  <si>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</si>
  <si>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</si>
  <si>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</si>
  <si>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</si>
  <si>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</si>
  <si>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</si>
  <si>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</si>
  <si>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</si>
  <si>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</si>
  <si>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</si>
  <si>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</si>
  <si>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</si>
  <si>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</si>
  <si>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</si>
  <si>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</si>
  <si>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</si>
  <si>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</si>
  <si>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</si>
  <si>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</si>
  <si>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</si>
  <si>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</si>
  <si>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</si>
  <si>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</si>
  <si>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</si>
  <si>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</si>
  <si>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</si>
  <si>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</si>
  <si>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</si>
  <si>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</si>
  <si>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</si>
  <si>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</si>
  <si>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</si>
  <si>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</si>
  <si>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</si>
  <si>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</si>
  <si>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</si>
  <si>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</si>
  <si>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</si>
  <si>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</si>
  <si>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</si>
  <si>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</si>
  <si>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</si>
  <si>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</si>
  <si>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</si>
  <si>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</si>
  <si>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</si>
  <si>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</si>
  <si>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</si>
  <si>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</si>
  <si>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</si>
  <si>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</si>
  <si>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</si>
  <si>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</si>
  <si>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</si>
  <si>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</si>
  <si>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</si>
  <si>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</si>
  <si>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</si>
  <si>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</si>
  <si>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</si>
  <si>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</si>
  <si>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</si>
  <si>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</si>
  <si>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</si>
  <si>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</si>
  <si>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</si>
  <si>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</si>
  <si>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</si>
  <si>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</si>
  <si>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</si>
  <si>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</si>
  <si>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</si>
  <si>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</si>
  <si>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</si>
  <si>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</si>
  <si>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</si>
  <si>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</si>
  <si>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</si>
  <si>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</si>
  <si>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</si>
  <si>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</si>
  <si>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</si>
  <si>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</si>
  <si>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</si>
  <si>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</si>
  <si>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</si>
  <si>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</si>
  <si>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</si>
  <si>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</si>
  <si>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</si>
  <si>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</si>
  <si>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</si>
  <si>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</si>
  <si>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</si>
  <si>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</si>
  <si>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</si>
  <si>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</si>
  <si>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</si>
  <si>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</si>
  <si>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</si>
  <si>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</si>
  <si>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</si>
  <si>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</si>
  <si>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</si>
  <si>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</si>
  <si>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</si>
  <si>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</si>
  <si>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</si>
  <si>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</si>
  <si>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</si>
  <si>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</si>
  <si>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</si>
  <si>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</si>
  <si>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</si>
  <si>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</si>
  <si>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</si>
  <si>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</si>
  <si>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</si>
  <si>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</si>
  <si>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</si>
  <si>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</si>
  <si>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</si>
  <si>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</si>
  <si>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</si>
  <si>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</si>
  <si>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</si>
  <si>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</si>
  <si>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</si>
  <si>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</si>
  <si>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</si>
  <si>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</si>
  <si>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</si>
  <si>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</si>
  <si>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</si>
  <si>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</si>
  <si>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</si>
  <si>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</si>
  <si>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</si>
  <si>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</si>
  <si>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</si>
  <si>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</si>
  <si>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</si>
  <si>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</si>
  <si>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</si>
  <si>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</si>
  <si>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</si>
  <si>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</si>
  <si>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</si>
  <si>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</si>
  <si>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</si>
  <si>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</si>
  <si>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</si>
  <si>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</si>
  <si>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</si>
  <si>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</si>
  <si>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</si>
  <si>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</si>
  <si>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</si>
  <si>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</si>
  <si>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</si>
  <si>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</si>
  <si>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</si>
  <si>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</si>
  <si>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</si>
  <si>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</si>
  <si>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</si>
  <si>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</si>
  <si>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</si>
  <si>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</si>
  <si>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</si>
  <si>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</si>
  <si>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</si>
  <si>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</si>
  <si>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</si>
  <si>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</si>
  <si>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</si>
  <si>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</si>
  <si>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</si>
  <si>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</si>
  <si>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</si>
  <si>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</si>
  <si>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</si>
  <si>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</si>
  <si>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</si>
  <si>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</si>
  <si>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</si>
  <si>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</si>
  <si>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</si>
  <si>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</si>
  <si>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</si>
  <si>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</si>
  <si>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</si>
  <si>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</si>
  <si>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</si>
  <si>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</si>
  <si>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</si>
  <si>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</si>
  <si>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</si>
  <si>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</si>
  <si>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</si>
  <si>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</si>
  <si>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</si>
  <si>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</si>
  <si>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</si>
  <si>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</si>
  <si>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</si>
  <si>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</si>
  <si>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</si>
  <si>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</si>
  <si>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</si>
  <si>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</si>
  <si>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</si>
  <si>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</si>
  <si>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</si>
  <si>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</si>
  <si>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</si>
  <si>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</si>
  <si>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</si>
  <si>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</si>
  <si>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</si>
  <si>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</si>
  <si>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</si>
  <si>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</si>
  <si>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</si>
  <si>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</si>
  <si>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</si>
  <si>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</si>
  <si>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</si>
  <si>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</si>
  <si>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</si>
  <si>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</si>
  <si>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</si>
  <si>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</si>
  <si>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</si>
  <si>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</si>
  <si>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</si>
  <si>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</si>
  <si>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</si>
  <si>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</si>
  <si>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</si>
  <si>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</si>
  <si>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</si>
  <si>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</si>
  <si>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</si>
  <si>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</si>
  <si>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</si>
  <si>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</si>
  <si>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</si>
  <si>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</si>
  <si>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</si>
  <si>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</si>
  <si>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</si>
  <si>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</si>
  <si>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</si>
  <si>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</si>
  <si>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</si>
  <si>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</si>
  <si>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</si>
  <si>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</si>
  <si>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</si>
  <si>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</si>
  <si>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</si>
  <si>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</si>
  <si>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</si>
  <si>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</si>
  <si>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</si>
  <si>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</si>
  <si>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</si>
  <si>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</si>
  <si>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</si>
  <si>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</si>
  <si>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</si>
  <si>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</si>
  <si>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</si>
  <si>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</si>
  <si>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</si>
  <si>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</si>
  <si>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</si>
  <si>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</si>
  <si>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</si>
  <si>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</si>
  <si>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</si>
  <si>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</si>
  <si>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</si>
  <si>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</si>
  <si>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</si>
  <si>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</si>
  <si>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</si>
  <si>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</si>
  <si>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</si>
  <si>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</si>
  <si>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</si>
  <si>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</si>
  <si>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</si>
  <si>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</si>
  <si>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</si>
  <si>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</si>
  <si>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</si>
  <si>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</si>
  <si>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</si>
  <si>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</si>
  <si>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</si>
  <si>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</si>
  <si>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</si>
  <si>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</si>
  <si>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</si>
  <si>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</si>
  <si>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</si>
  <si>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</si>
  <si>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</si>
  <si>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</si>
  <si>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</si>
  <si>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</si>
  <si>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</si>
  <si>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</si>
  <si>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</si>
  <si>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</si>
  <si>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</si>
  <si>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</si>
  <si>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</si>
  <si>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</si>
  <si>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</si>
  <si>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</si>
  <si>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</si>
  <si>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</si>
  <si>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</si>
  <si>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</si>
  <si>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</si>
  <si>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</si>
  <si>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</si>
  <si>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</si>
  <si>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</si>
  <si>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</si>
  <si>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</si>
  <si>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</si>
  <si>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</si>
  <si>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</si>
  <si>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</si>
  <si>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</si>
  <si>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</si>
  <si>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</si>
  <si>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</si>
  <si>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</si>
  <si>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</si>
  <si>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</si>
  <si>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</si>
  <si>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</si>
  <si>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</si>
  <si>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</si>
  <si>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</si>
  <si>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</si>
  <si>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</si>
  <si>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</si>
  <si>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</si>
  <si>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</si>
  <si>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</si>
  <si>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</si>
  <si>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</si>
  <si>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</si>
  <si>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</si>
  <si>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</si>
  <si>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</si>
  <si>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</si>
  <si>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</si>
  <si>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</si>
  <si>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</si>
  <si>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</si>
  <si>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</si>
  <si>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</si>
  <si>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</si>
  <si>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</si>
  <si>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</si>
  <si>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</si>
  <si>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</si>
  <si>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</si>
  <si>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</si>
  <si>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</si>
  <si>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</si>
  <si>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</si>
  <si>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</si>
  <si>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</si>
  <si>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</si>
  <si>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</si>
  <si>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</si>
  <si>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</si>
  <si>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</si>
  <si>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</si>
  <si>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</si>
  <si>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</si>
  <si>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</si>
  <si>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</si>
  <si>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</si>
  <si>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</si>
  <si>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</si>
  <si>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</si>
  <si>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</si>
  <si>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</si>
  <si>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</si>
  <si>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</si>
  <si>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</si>
  <si>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</si>
  <si>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</si>
  <si>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</si>
  <si>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</si>
  <si>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</si>
  <si>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</si>
  <si>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</si>
  <si>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</si>
  <si>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</si>
  <si>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</si>
  <si>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</si>
  <si>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</si>
  <si>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</si>
  <si>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</si>
  <si>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</si>
  <si>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</si>
  <si>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</si>
  <si>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</si>
  <si>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</si>
  <si>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</si>
  <si>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</si>
  <si>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</si>
  <si>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</si>
  <si>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</si>
  <si>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</si>
  <si>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</si>
  <si>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</si>
  <si>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</si>
  <si>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</si>
  <si>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</si>
  <si>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</si>
  <si>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</si>
  <si>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</si>
  <si>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</si>
  <si>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</si>
  <si>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</si>
  <si>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</si>
  <si>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</si>
  <si>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</si>
  <si>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</si>
  <si>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</si>
  <si>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</si>
  <si>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</si>
  <si>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</si>
  <si>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</si>
  <si>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</si>
  <si>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</si>
  <si>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</si>
  <si>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</si>
  <si>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</si>
  <si>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</si>
  <si>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</si>
  <si>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</si>
  <si>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</si>
  <si>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</si>
  <si>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</si>
  <si>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</si>
  <si>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</si>
  <si>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</si>
  <si>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</si>
  <si>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</si>
  <si>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</si>
  <si>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</si>
  <si>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</si>
  <si>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</si>
  <si>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</si>
  <si>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</si>
  <si>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</si>
  <si>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</si>
  <si>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</si>
  <si>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</si>
  <si>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</si>
  <si>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</si>
  <si>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</si>
  <si>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</si>
  <si>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</si>
  <si>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</si>
  <si>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</si>
  <si>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</si>
  <si>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</si>
  <si>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</si>
  <si>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</si>
  <si>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</si>
  <si>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</si>
  <si>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</si>
  <si>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</si>
  <si>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</si>
  <si>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</si>
  <si>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</si>
  <si>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</si>
  <si>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</si>
  <si>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</si>
  <si>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</si>
  <si>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</si>
  <si>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</si>
  <si>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</si>
  <si>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</si>
  <si>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</si>
  <si>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</si>
  <si>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</si>
  <si>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</si>
  <si>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</si>
  <si>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</si>
  <si>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</si>
  <si>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</si>
  <si>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</si>
  <si>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</si>
  <si>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</si>
  <si>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</si>
  <si>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</si>
  <si>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</si>
  <si>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</si>
  <si>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</si>
  <si>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</si>
  <si>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</si>
  <si>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</si>
  <si>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</si>
  <si>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</si>
  <si>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</si>
  <si>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</si>
  <si>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</si>
  <si>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</si>
  <si>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</si>
  <si>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</si>
  <si>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</si>
  <si>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</si>
  <si>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</si>
  <si>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</si>
  <si>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</si>
  <si>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</si>
  <si>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</si>
  <si>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</si>
  <si>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</si>
  <si>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</si>
  <si>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</si>
  <si>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</si>
  <si>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</si>
  <si>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</si>
  <si>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</si>
  <si>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</si>
  <si>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</si>
  <si>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</si>
  <si>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</si>
  <si>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</si>
  <si>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</si>
  <si>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</si>
  <si>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</si>
  <si>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</si>
  <si>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</si>
  <si>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</si>
  <si>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</si>
  <si>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</si>
  <si>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</si>
  <si>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</si>
  <si>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</si>
  <si>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</si>
  <si>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</si>
  <si>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</si>
  <si>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</si>
  <si>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</si>
  <si>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</si>
  <si>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</si>
  <si>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</si>
  <si>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</si>
  <si>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</si>
  <si>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</si>
  <si>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</si>
  <si>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</si>
  <si>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</si>
  <si>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</si>
  <si>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</si>
  <si>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</si>
  <si>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</si>
  <si>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</si>
  <si>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</si>
  <si>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</si>
  <si>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</si>
  <si>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</si>
  <si>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</si>
  <si>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</si>
  <si>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</si>
  <si>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</si>
  <si>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</si>
  <si>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</si>
  <si>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</si>
  <si>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</si>
  <si>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</si>
  <si>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</si>
  <si>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</si>
  <si>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</si>
  <si>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</si>
  <si>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</si>
  <si>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</si>
  <si>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</si>
  <si>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</si>
  <si>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</si>
  <si>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</si>
  <si>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</si>
  <si>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</si>
  <si>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</si>
  <si>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</si>
  <si>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31003</t>
  </si>
  <si>
    <t>BEERNEM</t>
  </si>
  <si>
    <t>Paarden&amp;pony's 200 - 600 kg</t>
  </si>
  <si>
    <t>Paarden&amp;pony's &lt; 200 kg</t>
  </si>
  <si>
    <t>referentietaak LNE (2017); Jaarverslag De Lijn (2015)</t>
  </si>
  <si>
    <t>op basis van VEA (maart 2018) en Inventaris Hernieuwbare Energiebronnen (juni 2018)</t>
  </si>
  <si>
    <t>VEA (januari 2017)</t>
  </si>
  <si>
    <t>VEA (juni 2018)</t>
  </si>
  <si>
    <t>Bio-Electric</t>
  </si>
  <si>
    <t>Wellingstraat 107A, 8730 Beernem</t>
  </si>
  <si>
    <t>WKK-0086 Bio-Electric</t>
  </si>
  <si>
    <t>interne verbrandingsmotor</t>
  </si>
  <si>
    <t>WKK interne verbrandinsgmotor (gas)</t>
  </si>
  <si>
    <t>IMEWO</t>
  </si>
  <si>
    <t>Gailliaert M - Van Belleghem Ella</t>
  </si>
  <si>
    <t>Vullaertstraat 92 , 8730 Beernem</t>
  </si>
  <si>
    <t>WKK-0585 Gailliaert-Van Belleghem</t>
  </si>
  <si>
    <t>Dany Claeys</t>
  </si>
  <si>
    <t>Maria-Aaltersteenweg 36 , 8730 Beernem</t>
  </si>
  <si>
    <t>WKK-0632 Dany Claeys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</si>
</sst>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130490.2181071033</c:v>
                </c:pt>
                <c:pt idx="1">
                  <c:v>72948.167562722345</c:v>
                </c:pt>
                <c:pt idx="2">
                  <c:v>1118.4349999999999</c:v>
                </c:pt>
                <c:pt idx="3">
                  <c:v>37978.456329771798</c:v>
                </c:pt>
                <c:pt idx="4">
                  <c:v>43874.494786073526</c:v>
                </c:pt>
                <c:pt idx="5">
                  <c:v>261152.04704459882</c:v>
                </c:pt>
                <c:pt idx="6">
                  <c:v>1055.0919935991856</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76896"/>
        <c:axId val="182978432"/>
      </c:barChart>
      <c:catAx>
        <c:axId val="182976896"/>
        <c:scaling>
          <c:orientation val="minMax"/>
        </c:scaling>
        <c:axPos val="b"/>
        <c:numFmt formatCode="General" sourceLinked="0"/>
        <c:tickLblPos val="nextTo"/>
        <c:crossAx val="182978432"/>
        <c:crosses val="autoZero"/>
        <c:auto val="1"/>
        <c:lblAlgn val="ctr"/>
        <c:lblOffset val="100"/>
      </c:catAx>
      <c:valAx>
        <c:axId val="182978432"/>
        <c:scaling>
          <c:orientation val="minMax"/>
        </c:scaling>
        <c:axPos val="l"/>
        <c:majorGridlines/>
        <c:numFmt formatCode="#,##0" sourceLinked="1"/>
        <c:tickLblPos val="nextTo"/>
        <c:crossAx val="1829768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130490.2181071033</c:v>
                </c:pt>
                <c:pt idx="1">
                  <c:v>72948.167562722345</c:v>
                </c:pt>
                <c:pt idx="2">
                  <c:v>1118.4349999999999</c:v>
                </c:pt>
                <c:pt idx="3">
                  <c:v>37978.456329771798</c:v>
                </c:pt>
                <c:pt idx="4">
                  <c:v>43874.494786073526</c:v>
                </c:pt>
                <c:pt idx="5">
                  <c:v>261152.04704459882</c:v>
                </c:pt>
                <c:pt idx="6">
                  <c:v>1055.0919935991856</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21463.88417887512</c:v>
                </c:pt>
                <c:pt idx="1">
                  <c:v>13491.879083286869</c:v>
                </c:pt>
                <c:pt idx="2">
                  <c:v>181.51294497180498</c:v>
                </c:pt>
                <c:pt idx="3">
                  <c:v>5388.6966079059775</c:v>
                </c:pt>
                <c:pt idx="4">
                  <c:v>8145.8771880354398</c:v>
                </c:pt>
                <c:pt idx="5">
                  <c:v>66951.662782372368</c:v>
                </c:pt>
                <c:pt idx="6">
                  <c:v>273.23444120015154</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393280"/>
        <c:axId val="183546624"/>
      </c:barChart>
      <c:catAx>
        <c:axId val="183393280"/>
        <c:scaling>
          <c:orientation val="minMax"/>
        </c:scaling>
        <c:axPos val="b"/>
        <c:numFmt formatCode="General" sourceLinked="0"/>
        <c:tickLblPos val="nextTo"/>
        <c:crossAx val="183546624"/>
        <c:crosses val="autoZero"/>
        <c:auto val="1"/>
        <c:lblAlgn val="ctr"/>
        <c:lblOffset val="100"/>
      </c:catAx>
      <c:valAx>
        <c:axId val="183546624"/>
        <c:scaling>
          <c:orientation val="minMax"/>
        </c:scaling>
        <c:axPos val="l"/>
        <c:majorGridlines/>
        <c:numFmt formatCode="#,##0" sourceLinked="1"/>
        <c:tickLblPos val="nextTo"/>
        <c:crossAx val="18339328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21463.88417887512</c:v>
                </c:pt>
                <c:pt idx="1">
                  <c:v>13491.879083286869</c:v>
                </c:pt>
                <c:pt idx="2">
                  <c:v>181.51294497180498</c:v>
                </c:pt>
                <c:pt idx="3">
                  <c:v>5388.6966079059775</c:v>
                </c:pt>
                <c:pt idx="4">
                  <c:v>8145.8771880354398</c:v>
                </c:pt>
                <c:pt idx="5">
                  <c:v>66951.662782372368</c:v>
                </c:pt>
                <c:pt idx="6">
                  <c:v>273.23444120015154</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31003</v>
      </c>
      <c r="B6" s="415"/>
      <c r="C6" s="416"/>
    </row>
    <row r="7" spans="1:7" s="413" customFormat="1" ht="15.75" customHeight="1">
      <c r="A7" s="417" t="str">
        <f>txtMunicipality</f>
        <v>BEERNEM</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31003</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6158</v>
      </c>
      <c r="C9" s="342">
        <v>6296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4683.16</v>
      </c>
    </row>
    <row r="15" spans="1:6">
      <c r="A15" s="348" t="s">
        <v>184</v>
      </c>
      <c r="B15" s="334">
        <v>111</v>
      </c>
    </row>
    <row r="16" spans="1:6">
      <c r="A16" s="348" t="s">
        <v>6</v>
      </c>
      <c r="B16" s="334">
        <v>4100</v>
      </c>
    </row>
    <row r="17" spans="1:6">
      <c r="A17" s="348" t="s">
        <v>7</v>
      </c>
      <c r="B17" s="334">
        <v>1285</v>
      </c>
    </row>
    <row r="18" spans="1:6">
      <c r="A18" s="348" t="s">
        <v>8</v>
      </c>
      <c r="B18" s="334">
        <v>3144</v>
      </c>
    </row>
    <row r="19" spans="1:6">
      <c r="A19" s="348" t="s">
        <v>9</v>
      </c>
      <c r="B19" s="334">
        <v>3138</v>
      </c>
    </row>
    <row r="20" spans="1:6">
      <c r="A20" s="348" t="s">
        <v>10</v>
      </c>
      <c r="B20" s="334">
        <v>1769</v>
      </c>
    </row>
    <row r="21" spans="1:6">
      <c r="A21" s="348" t="s">
        <v>11</v>
      </c>
      <c r="B21" s="334">
        <v>14875</v>
      </c>
    </row>
    <row r="22" spans="1:6">
      <c r="A22" s="348" t="s">
        <v>12</v>
      </c>
      <c r="B22" s="334">
        <v>42223</v>
      </c>
    </row>
    <row r="23" spans="1:6">
      <c r="A23" s="348" t="s">
        <v>13</v>
      </c>
      <c r="B23" s="334">
        <v>685</v>
      </c>
    </row>
    <row r="24" spans="1:6">
      <c r="A24" s="348" t="s">
        <v>14</v>
      </c>
      <c r="B24" s="334">
        <v>22</v>
      </c>
    </row>
    <row r="25" spans="1:6">
      <c r="A25" s="348" t="s">
        <v>15</v>
      </c>
      <c r="B25" s="334">
        <v>3815</v>
      </c>
    </row>
    <row r="26" spans="1:6">
      <c r="A26" s="348" t="s">
        <v>16</v>
      </c>
      <c r="B26" s="334">
        <v>690</v>
      </c>
    </row>
    <row r="27" spans="1:6">
      <c r="A27" s="348" t="s">
        <v>17</v>
      </c>
      <c r="B27" s="334">
        <v>4</v>
      </c>
    </row>
    <row r="28" spans="1:6" s="356" customFormat="1">
      <c r="A28" s="355" t="s">
        <v>18</v>
      </c>
      <c r="B28" s="355">
        <v>122119</v>
      </c>
    </row>
    <row r="29" spans="1:6">
      <c r="A29" s="355" t="s">
        <v>812</v>
      </c>
      <c r="B29" s="355">
        <v>275</v>
      </c>
      <c r="C29" s="356"/>
      <c r="D29" s="356"/>
      <c r="E29" s="356"/>
      <c r="F29" s="356"/>
    </row>
    <row r="30" spans="1:6">
      <c r="A30" s="355" t="s">
        <v>813</v>
      </c>
      <c r="B30" s="341">
        <v>58</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6359.3173059999999</v>
      </c>
    </row>
    <row r="37" spans="1:6">
      <c r="A37" s="348" t="s">
        <v>25</v>
      </c>
      <c r="B37" s="348" t="s">
        <v>28</v>
      </c>
      <c r="C37" s="334">
        <v>0</v>
      </c>
      <c r="D37" s="334">
        <v>0</v>
      </c>
      <c r="E37" s="334">
        <v>0</v>
      </c>
      <c r="F37" s="334">
        <v>0</v>
      </c>
    </row>
    <row r="38" spans="1:6">
      <c r="A38" s="348" t="s">
        <v>25</v>
      </c>
      <c r="B38" s="348" t="s">
        <v>29</v>
      </c>
      <c r="C38" s="334">
        <v>0</v>
      </c>
      <c r="D38" s="334">
        <v>0</v>
      </c>
      <c r="E38" s="334">
        <v>2</v>
      </c>
      <c r="F38" s="334">
        <v>23952.255819999998</v>
      </c>
    </row>
    <row r="39" spans="1:6">
      <c r="A39" s="348" t="s">
        <v>30</v>
      </c>
      <c r="B39" s="348" t="s">
        <v>31</v>
      </c>
      <c r="C39" s="334">
        <v>3445</v>
      </c>
      <c r="D39" s="334">
        <v>50660595.983999997</v>
      </c>
      <c r="E39" s="334">
        <v>5783</v>
      </c>
      <c r="F39" s="334">
        <v>25536526.197000001</v>
      </c>
    </row>
    <row r="40" spans="1:6">
      <c r="A40" s="348" t="s">
        <v>30</v>
      </c>
      <c r="B40" s="348" t="s">
        <v>29</v>
      </c>
      <c r="C40" s="334">
        <v>0</v>
      </c>
      <c r="D40" s="334">
        <v>0</v>
      </c>
      <c r="E40" s="334">
        <v>0</v>
      </c>
      <c r="F40" s="334">
        <v>0</v>
      </c>
    </row>
    <row r="41" spans="1:6">
      <c r="A41" s="348" t="s">
        <v>32</v>
      </c>
      <c r="B41" s="348" t="s">
        <v>33</v>
      </c>
      <c r="C41" s="334">
        <v>60</v>
      </c>
      <c r="D41" s="334">
        <v>1177448.148</v>
      </c>
      <c r="E41" s="334">
        <v>158</v>
      </c>
      <c r="F41" s="334">
        <v>4928075.5815000003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5</v>
      </c>
      <c r="D44" s="334">
        <v>144962.29186999999</v>
      </c>
      <c r="E44" s="334">
        <v>21</v>
      </c>
      <c r="F44" s="334">
        <v>2644857.0107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179679.17736999999</v>
      </c>
    </row>
    <row r="48" spans="1:6">
      <c r="A48" s="348" t="s">
        <v>32</v>
      </c>
      <c r="B48" s="348" t="s">
        <v>29</v>
      </c>
      <c r="C48" s="334">
        <v>40</v>
      </c>
      <c r="D48" s="334">
        <v>18830105.84</v>
      </c>
      <c r="E48" s="334">
        <v>45</v>
      </c>
      <c r="F48" s="334">
        <v>5379978.1573000001</v>
      </c>
    </row>
    <row r="49" spans="1:6">
      <c r="A49" s="348" t="s">
        <v>32</v>
      </c>
      <c r="B49" s="348" t="s">
        <v>40</v>
      </c>
      <c r="C49" s="334">
        <v>0</v>
      </c>
      <c r="D49" s="334">
        <v>0</v>
      </c>
      <c r="E49" s="334">
        <v>3</v>
      </c>
      <c r="F49" s="334">
        <v>21175.738380999999</v>
      </c>
    </row>
    <row r="50" spans="1:6">
      <c r="A50" s="348" t="s">
        <v>32</v>
      </c>
      <c r="B50" s="348" t="s">
        <v>41</v>
      </c>
      <c r="C50" s="334">
        <v>5</v>
      </c>
      <c r="D50" s="334">
        <v>437100.92385000002</v>
      </c>
      <c r="E50" s="334">
        <v>15</v>
      </c>
      <c r="F50" s="334">
        <v>484214.60505999997</v>
      </c>
    </row>
    <row r="51" spans="1:6">
      <c r="A51" s="348" t="s">
        <v>42</v>
      </c>
      <c r="B51" s="348" t="s">
        <v>43</v>
      </c>
      <c r="C51" s="334">
        <v>10</v>
      </c>
      <c r="D51" s="334">
        <v>202035.35423</v>
      </c>
      <c r="E51" s="334">
        <v>196</v>
      </c>
      <c r="F51" s="334">
        <v>4228258.6578000002</v>
      </c>
    </row>
    <row r="52" spans="1:6">
      <c r="A52" s="348" t="s">
        <v>42</v>
      </c>
      <c r="B52" s="348" t="s">
        <v>29</v>
      </c>
      <c r="C52" s="334">
        <v>3</v>
      </c>
      <c r="D52" s="334">
        <v>41662.781608999998</v>
      </c>
      <c r="E52" s="334">
        <v>1</v>
      </c>
      <c r="F52" s="334">
        <v>11723</v>
      </c>
    </row>
    <row r="53" spans="1:6">
      <c r="A53" s="348" t="s">
        <v>44</v>
      </c>
      <c r="B53" s="348" t="s">
        <v>45</v>
      </c>
      <c r="C53" s="334">
        <v>87</v>
      </c>
      <c r="D53" s="334">
        <v>1522076.3515000001</v>
      </c>
      <c r="E53" s="334">
        <v>181</v>
      </c>
      <c r="F53" s="334">
        <v>831129.50537999999</v>
      </c>
    </row>
    <row r="54" spans="1:6">
      <c r="A54" s="348" t="s">
        <v>46</v>
      </c>
      <c r="B54" s="348" t="s">
        <v>47</v>
      </c>
      <c r="C54" s="334">
        <v>0</v>
      </c>
      <c r="D54" s="334">
        <v>0</v>
      </c>
      <c r="E54" s="334">
        <v>1</v>
      </c>
      <c r="F54" s="334">
        <v>1118435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44</v>
      </c>
      <c r="D57" s="334">
        <v>22088542.248</v>
      </c>
      <c r="E57" s="334">
        <v>108</v>
      </c>
      <c r="F57" s="334">
        <v>4899598.2001999998</v>
      </c>
    </row>
    <row r="58" spans="1:6">
      <c r="A58" s="348" t="s">
        <v>49</v>
      </c>
      <c r="B58" s="348" t="s">
        <v>51</v>
      </c>
      <c r="C58" s="334">
        <v>37</v>
      </c>
      <c r="D58" s="334">
        <v>2690707.7269000001</v>
      </c>
      <c r="E58" s="334">
        <v>55</v>
      </c>
      <c r="F58" s="334">
        <v>831195.62363000005</v>
      </c>
    </row>
    <row r="59" spans="1:6">
      <c r="A59" s="348" t="s">
        <v>49</v>
      </c>
      <c r="B59" s="348" t="s">
        <v>52</v>
      </c>
      <c r="C59" s="334">
        <v>65</v>
      </c>
      <c r="D59" s="334">
        <v>2376452.5972000002</v>
      </c>
      <c r="E59" s="334">
        <v>148</v>
      </c>
      <c r="F59" s="334">
        <v>5296364.0839</v>
      </c>
    </row>
    <row r="60" spans="1:6">
      <c r="A60" s="348" t="s">
        <v>49</v>
      </c>
      <c r="B60" s="348" t="s">
        <v>53</v>
      </c>
      <c r="C60" s="334">
        <v>31</v>
      </c>
      <c r="D60" s="334">
        <v>15671218.514</v>
      </c>
      <c r="E60" s="334">
        <v>59</v>
      </c>
      <c r="F60" s="334">
        <v>3755081.1960999998</v>
      </c>
    </row>
    <row r="61" spans="1:6">
      <c r="A61" s="348" t="s">
        <v>49</v>
      </c>
      <c r="B61" s="348" t="s">
        <v>54</v>
      </c>
      <c r="C61" s="334">
        <v>78</v>
      </c>
      <c r="D61" s="334">
        <v>3081812.6979999999</v>
      </c>
      <c r="E61" s="334">
        <v>193</v>
      </c>
      <c r="F61" s="334">
        <v>2445979.5767999999</v>
      </c>
    </row>
    <row r="62" spans="1:6">
      <c r="A62" s="348" t="s">
        <v>49</v>
      </c>
      <c r="B62" s="348" t="s">
        <v>55</v>
      </c>
      <c r="C62" s="334">
        <v>7</v>
      </c>
      <c r="D62" s="334">
        <v>458531.77431000001</v>
      </c>
      <c r="E62" s="334">
        <v>11</v>
      </c>
      <c r="F62" s="334">
        <v>179998.62831999999</v>
      </c>
    </row>
    <row r="63" spans="1:6">
      <c r="A63" s="348" t="s">
        <v>49</v>
      </c>
      <c r="B63" s="348" t="s">
        <v>29</v>
      </c>
      <c r="C63" s="334">
        <v>87</v>
      </c>
      <c r="D63" s="334">
        <v>2833425.4509000001</v>
      </c>
      <c r="E63" s="334">
        <v>107</v>
      </c>
      <c r="F63" s="334">
        <v>1679017.3282000001</v>
      </c>
    </row>
    <row r="64" spans="1:6">
      <c r="A64" s="348" t="s">
        <v>56</v>
      </c>
      <c r="B64" s="348" t="s">
        <v>57</v>
      </c>
      <c r="C64" s="334">
        <v>0</v>
      </c>
      <c r="D64" s="334">
        <v>0</v>
      </c>
      <c r="E64" s="334">
        <v>0</v>
      </c>
      <c r="F64" s="334">
        <v>0</v>
      </c>
    </row>
    <row r="65" spans="1:6">
      <c r="A65" s="348" t="s">
        <v>56</v>
      </c>
      <c r="B65" s="348" t="s">
        <v>29</v>
      </c>
      <c r="C65" s="334">
        <v>1</v>
      </c>
      <c r="D65" s="334">
        <v>8985.0340053</v>
      </c>
      <c r="E65" s="334">
        <v>1</v>
      </c>
      <c r="F65" s="334">
        <v>6506.4198796000001</v>
      </c>
    </row>
    <row r="66" spans="1:6">
      <c r="A66" s="348" t="s">
        <v>56</v>
      </c>
      <c r="B66" s="348" t="s">
        <v>58</v>
      </c>
      <c r="C66" s="334">
        <v>0</v>
      </c>
      <c r="D66" s="334">
        <v>0</v>
      </c>
      <c r="E66" s="334">
        <v>17</v>
      </c>
      <c r="F66" s="334">
        <v>317066.80644999997</v>
      </c>
    </row>
    <row r="67" spans="1:6">
      <c r="A67" s="355" t="s">
        <v>56</v>
      </c>
      <c r="B67" s="355" t="s">
        <v>59</v>
      </c>
      <c r="C67" s="334">
        <v>0</v>
      </c>
      <c r="D67" s="334">
        <v>0</v>
      </c>
      <c r="E67" s="334">
        <v>0</v>
      </c>
      <c r="F67" s="334">
        <v>0</v>
      </c>
    </row>
    <row r="68" spans="1:6">
      <c r="A68" s="341" t="s">
        <v>56</v>
      </c>
      <c r="B68" s="341" t="s">
        <v>60</v>
      </c>
      <c r="C68" s="334">
        <v>5</v>
      </c>
      <c r="D68" s="334">
        <v>109544.73017</v>
      </c>
      <c r="E68" s="334">
        <v>14</v>
      </c>
      <c r="F68" s="334">
        <v>142392.70954000001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57767687</v>
      </c>
      <c r="E73" s="476">
        <v>61174193.821100205</v>
      </c>
    </row>
    <row r="74" spans="1:6">
      <c r="A74" s="348" t="s">
        <v>64</v>
      </c>
      <c r="B74" s="348" t="s">
        <v>667</v>
      </c>
      <c r="C74" s="1212" t="s">
        <v>669</v>
      </c>
      <c r="D74" s="476">
        <v>5190909.3373405878</v>
      </c>
      <c r="E74" s="476">
        <v>5357249.4102705019</v>
      </c>
    </row>
    <row r="75" spans="1:6">
      <c r="A75" s="348" t="s">
        <v>65</v>
      </c>
      <c r="B75" s="348" t="s">
        <v>666</v>
      </c>
      <c r="C75" s="1212" t="s">
        <v>670</v>
      </c>
      <c r="D75" s="476">
        <v>26306900</v>
      </c>
      <c r="E75" s="476">
        <v>28242453.161697369</v>
      </c>
    </row>
    <row r="76" spans="1:6">
      <c r="A76" s="348" t="s">
        <v>65</v>
      </c>
      <c r="B76" s="348" t="s">
        <v>667</v>
      </c>
      <c r="C76" s="1212" t="s">
        <v>671</v>
      </c>
      <c r="D76" s="476">
        <v>2656986.3373405878</v>
      </c>
      <c r="E76" s="476">
        <v>2746189.9428228862</v>
      </c>
    </row>
    <row r="77" spans="1:6">
      <c r="A77" s="348" t="s">
        <v>66</v>
      </c>
      <c r="B77" s="348" t="s">
        <v>666</v>
      </c>
      <c r="C77" s="1212" t="s">
        <v>672</v>
      </c>
      <c r="D77" s="476">
        <v>159772605</v>
      </c>
      <c r="E77" s="476">
        <v>167326892.57970315</v>
      </c>
    </row>
    <row r="78" spans="1:6">
      <c r="A78" s="341" t="s">
        <v>66</v>
      </c>
      <c r="B78" s="341" t="s">
        <v>667</v>
      </c>
      <c r="C78" s="341" t="s">
        <v>673</v>
      </c>
      <c r="D78" s="1213">
        <v>27786519</v>
      </c>
      <c r="E78" s="1213">
        <v>28569659.349357504</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283383.32531882467</v>
      </c>
      <c r="C83" s="476">
        <v>283383.32531882467</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4001.9471926557248</v>
      </c>
    </row>
    <row r="92" spans="1:6">
      <c r="A92" s="341" t="s">
        <v>69</v>
      </c>
      <c r="B92" s="342">
        <v>2827.2252867909024</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1822</v>
      </c>
    </row>
    <row r="98" spans="1:6">
      <c r="A98" s="348" t="s">
        <v>72</v>
      </c>
      <c r="B98" s="334">
        <v>0</v>
      </c>
    </row>
    <row r="99" spans="1:6">
      <c r="A99" s="348" t="s">
        <v>73</v>
      </c>
      <c r="B99" s="334">
        <v>231</v>
      </c>
    </row>
    <row r="100" spans="1:6">
      <c r="A100" s="348" t="s">
        <v>74</v>
      </c>
      <c r="B100" s="334">
        <v>578</v>
      </c>
    </row>
    <row r="101" spans="1:6">
      <c r="A101" s="348" t="s">
        <v>75</v>
      </c>
      <c r="B101" s="334">
        <v>208</v>
      </c>
    </row>
    <row r="102" spans="1:6">
      <c r="A102" s="348" t="s">
        <v>76</v>
      </c>
      <c r="B102" s="334">
        <v>118</v>
      </c>
    </row>
    <row r="103" spans="1:6">
      <c r="A103" s="348" t="s">
        <v>77</v>
      </c>
      <c r="B103" s="334">
        <v>262</v>
      </c>
    </row>
    <row r="104" spans="1:6">
      <c r="A104" s="348" t="s">
        <v>78</v>
      </c>
      <c r="B104" s="334">
        <v>2094</v>
      </c>
    </row>
    <row r="105" spans="1:6">
      <c r="A105" s="341" t="s">
        <v>79</v>
      </c>
      <c r="B105" s="341">
        <v>10</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2</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36</v>
      </c>
      <c r="C123" s="334">
        <v>38</v>
      </c>
    </row>
    <row r="124" spans="1:6">
      <c r="A124" s="341" t="s">
        <v>89</v>
      </c>
      <c r="B124" s="334">
        <v>0</v>
      </c>
      <c r="C124" s="334">
        <v>3</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289</v>
      </c>
    </row>
    <row r="130" spans="1:6">
      <c r="A130" s="348" t="s">
        <v>295</v>
      </c>
      <c r="B130" s="334">
        <v>4</v>
      </c>
    </row>
    <row r="131" spans="1:6">
      <c r="A131" s="348" t="s">
        <v>296</v>
      </c>
      <c r="B131" s="334">
        <v>2</v>
      </c>
    </row>
    <row r="132" spans="1:6">
      <c r="A132" s="341" t="s">
        <v>297</v>
      </c>
      <c r="B132" s="342">
        <v>31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67679.246945837513</v>
      </c>
      <c r="C3" s="43" t="s">
        <v>170</v>
      </c>
      <c r="D3" s="43"/>
      <c r="E3" s="154"/>
      <c r="F3" s="43"/>
      <c r="G3" s="43"/>
      <c r="H3" s="43"/>
      <c r="I3" s="43"/>
      <c r="J3" s="43"/>
      <c r="K3" s="96"/>
    </row>
    <row r="4" spans="1:11">
      <c r="A4" s="383" t="s">
        <v>171</v>
      </c>
      <c r="B4" s="49">
        <f>IF(ISERROR('SEAP template'!B69),0,'SEAP template'!B69)</f>
        <v>17978.822479446626</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0.16229190339340685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15928.071428571429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1118.4349999999999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1118.4349999999999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0.16229190339340685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181.51294497180498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25536.526196999999</v>
      </c>
      <c r="C5" s="17">
        <f>IF(ISERROR('Eigen informatie GS &amp; warmtenet'!B57),0,'Eigen informatie GS &amp; warmtenet'!B57)</f>
        <v>0</v>
      </c>
      <c r="D5" s="30">
        <f>(SUM(HH_hh_gas_kWh,HH_rest_gas_kWh)/1000)*0.902</f>
        <v>45695.857577568</v>
      </c>
      <c r="E5" s="17">
        <f>B46*B57</f>
        <v>9827.8392025865578</v>
      </c>
      <c r="F5" s="17">
        <f>B51*B62</f>
        <v>15415.886215747971</v>
      </c>
      <c r="G5" s="18"/>
      <c r="H5" s="17"/>
      <c r="I5" s="17"/>
      <c r="J5" s="17">
        <f>B50*B61+C50*C61</f>
        <v>3086.1716380559396</v>
      </c>
      <c r="K5" s="17"/>
      <c r="L5" s="17"/>
      <c r="M5" s="17"/>
      <c r="N5" s="17">
        <f>B48*B59+C48*C59</f>
        <v>25132.623416822455</v>
      </c>
      <c r="O5" s="17">
        <f>B69*B70*B71</f>
        <v>515.9</v>
      </c>
      <c r="P5" s="17">
        <f>B77*B78*B79/1000-B77*B78*B79/1000/B80</f>
        <v>1277.4666666666667</v>
      </c>
    </row>
    <row r="6" spans="1:16">
      <c r="A6" s="16" t="s">
        <v>624</v>
      </c>
      <c r="B6" s="843">
        <f>kWh_PV_kleiner_dan_10kW</f>
        <v>4001.9471926557248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29538.473389655723</v>
      </c>
      <c r="C8" s="21">
        <f>C5</f>
        <v>0</v>
      </c>
      <c r="D8" s="21">
        <f>D5</f>
        <v>45695.857577568</v>
      </c>
      <c r="E8" s="21">
        <f>E5</f>
        <v>9827.8392025865578</v>
      </c>
      <c r="F8" s="21">
        <f>F5</f>
        <v>15415.886215747971</v>
      </c>
      <c r="G8" s="21"/>
      <c r="H8" s="21"/>
      <c r="I8" s="21"/>
      <c r="J8" s="21">
        <f>J5</f>
        <v>3086.1716380559396</v>
      </c>
      <c r="K8" s="21"/>
      <c r="L8" s="21">
        <f>L5</f>
        <v>0</v>
      </c>
      <c r="M8" s="21">
        <f>M5</f>
        <v>0</v>
      </c>
      <c r="N8" s="21">
        <f>N5</f>
        <v>25132.623416822455</v>
      </c>
      <c r="O8" s="21">
        <f>O5</f>
        <v>515.9</v>
      </c>
      <c r="P8" s="21">
        <f>P5</f>
        <v>1277.4666666666667</v>
      </c>
    </row>
    <row r="9" spans="1:16">
      <c r="B9" s="19"/>
      <c r="C9" s="19"/>
      <c r="D9" s="258"/>
      <c r="E9" s="19"/>
      <c r="F9" s="19"/>
      <c r="G9" s="19"/>
      <c r="H9" s="19"/>
      <c r="I9" s="19"/>
      <c r="J9" s="19"/>
      <c r="K9" s="19"/>
      <c r="L9" s="19"/>
      <c r="M9" s="19"/>
      <c r="N9" s="19"/>
      <c r="O9" s="19"/>
      <c r="P9" s="19"/>
    </row>
    <row r="10" spans="1:16">
      <c r="A10" s="24" t="s">
        <v>214</v>
      </c>
      <c r="B10" s="25">
        <f ca="1">'EF ele_warmte'!B12</f>
        <v>0.16229190339340685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4793.8550697427254</v>
      </c>
      <c r="C12" s="23">
        <f ca="1">C10*C8</f>
        <v>0</v>
      </c>
      <c r="D12" s="23">
        <f>D8*D10</f>
        <v>9230.5632306687367</v>
      </c>
      <c r="E12" s="23">
        <f>E10*E8</f>
        <v>2230.9194989871485</v>
      </c>
      <c r="F12" s="23">
        <f>F10*F8</f>
        <v>4116.0416196047081</v>
      </c>
      <c r="G12" s="23"/>
      <c r="H12" s="23"/>
      <c r="I12" s="23"/>
      <c r="J12" s="23">
        <f>J10*J8</f>
        <v>1092.5047598718027</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1822</v>
      </c>
      <c r="C18" s="166" t="s">
        <v>111</v>
      </c>
      <c r="D18" s="228"/>
      <c r="E18" s="15"/>
    </row>
    <row r="19" spans="1:7">
      <c r="A19" s="171" t="s">
        <v>72</v>
      </c>
      <c r="B19" s="37">
        <f>aantalw2001_ander</f>
        <v>0</v>
      </c>
      <c r="C19" s="166" t="s">
        <v>111</v>
      </c>
      <c r="D19" s="229"/>
      <c r="E19" s="15"/>
    </row>
    <row r="20" spans="1:7">
      <c r="A20" s="171" t="s">
        <v>73</v>
      </c>
      <c r="B20" s="37">
        <f>aantalw2001_propaan</f>
        <v>231</v>
      </c>
      <c r="C20" s="167">
        <f>IF(ISERROR(B20/SUM($B$20,$B$21,$B$22)*100),0,B20/SUM($B$20,$B$21,$B$22)*100)</f>
        <v>22.713864306784661</v>
      </c>
      <c r="D20" s="229"/>
      <c r="E20" s="15"/>
    </row>
    <row r="21" spans="1:7">
      <c r="A21" s="171" t="s">
        <v>74</v>
      </c>
      <c r="B21" s="37">
        <f>aantalw2001_elektriciteit</f>
        <v>578</v>
      </c>
      <c r="C21" s="167">
        <f>IF(ISERROR(B21/SUM($B$20,$B$21,$B$22)*100),0,B21/SUM($B$20,$B$21,$B$22)*100)</f>
        <v>56.83382497541789</v>
      </c>
      <c r="D21" s="229"/>
      <c r="E21" s="15"/>
    </row>
    <row r="22" spans="1:7">
      <c r="A22" s="171" t="s">
        <v>75</v>
      </c>
      <c r="B22" s="37">
        <f>aantalw2001_hout</f>
        <v>208</v>
      </c>
      <c r="C22" s="167">
        <f>IF(ISERROR(B22/SUM($B$20,$B$21,$B$22)*100),0,B22/SUM($B$20,$B$21,$B$22)*100)</f>
        <v>20.452310717797442</v>
      </c>
      <c r="D22" s="229"/>
      <c r="E22" s="15"/>
    </row>
    <row r="23" spans="1:7">
      <c r="A23" s="171" t="s">
        <v>76</v>
      </c>
      <c r="B23" s="37">
        <f>aantalw2001_niet_gespec</f>
        <v>118</v>
      </c>
      <c r="C23" s="166" t="s">
        <v>111</v>
      </c>
      <c r="D23" s="228"/>
      <c r="E23" s="15"/>
    </row>
    <row r="24" spans="1:7">
      <c r="A24" s="171" t="s">
        <v>77</v>
      </c>
      <c r="B24" s="37">
        <f>aantalw2001_steenkool</f>
        <v>262</v>
      </c>
      <c r="C24" s="166" t="s">
        <v>111</v>
      </c>
      <c r="D24" s="229"/>
      <c r="E24" s="15"/>
    </row>
    <row r="25" spans="1:7">
      <c r="A25" s="171" t="s">
        <v>78</v>
      </c>
      <c r="B25" s="37">
        <f>aantalw2001_stookolie</f>
        <v>2094</v>
      </c>
      <c r="C25" s="166" t="s">
        <v>111</v>
      </c>
      <c r="D25" s="228"/>
      <c r="E25" s="52"/>
    </row>
    <row r="26" spans="1:7">
      <c r="A26" s="171" t="s">
        <v>79</v>
      </c>
      <c r="B26" s="37">
        <f>aantalw2001_WP</f>
        <v>10</v>
      </c>
      <c r="C26" s="166" t="s">
        <v>111</v>
      </c>
      <c r="D26" s="228"/>
      <c r="E26" s="15"/>
    </row>
    <row r="27" spans="1:7" s="15" customFormat="1">
      <c r="A27" s="171"/>
      <c r="B27" s="29"/>
      <c r="C27" s="36"/>
      <c r="D27" s="228"/>
    </row>
    <row r="28" spans="1:7" s="15" customFormat="1">
      <c r="A28" s="230" t="s">
        <v>698</v>
      </c>
      <c r="B28" s="37">
        <f>aantalHuishoudens2011</f>
        <v>6158</v>
      </c>
      <c r="C28" s="36"/>
      <c r="D28" s="228"/>
    </row>
    <row r="29" spans="1:7" s="15" customFormat="1">
      <c r="A29" s="230" t="s">
        <v>699</v>
      </c>
      <c r="B29" s="37">
        <f>SUM(HH_hh_gas_aantal,HH_rest_gas_aantal)</f>
        <v>3445</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3445</v>
      </c>
      <c r="C32" s="167">
        <f>IF(ISERROR(B32/SUM($B$32,$B$34,$B$35,$B$36,$B$38,$B$39)*100),0,B32/SUM($B$32,$B$34,$B$35,$B$36,$B$38,$B$39)*100)</f>
        <v>56.558857330487598</v>
      </c>
      <c r="D32" s="233"/>
      <c r="G32" s="15"/>
    </row>
    <row r="33" spans="1:7">
      <c r="A33" s="171" t="s">
        <v>72</v>
      </c>
      <c r="B33" s="34" t="s">
        <v>111</v>
      </c>
      <c r="C33" s="167"/>
      <c r="D33" s="233"/>
      <c r="G33" s="15"/>
    </row>
    <row r="34" spans="1:7">
      <c r="A34" s="171" t="s">
        <v>73</v>
      </c>
      <c r="B34" s="33">
        <f>IF((($B$28-$B$32-$B$39-$B$77-$B$38)*C20/100)&lt;0,0,($B$28-$B$32-$B$39-$B$77-$B$38)*C20/100)</f>
        <v>434.51622418879049</v>
      </c>
      <c r="C34" s="167">
        <f>IF(ISERROR(B34/SUM($B$32,$B$34,$B$35,$B$36,$B$38,$B$39)*100),0,B34/SUM($B$32,$B$34,$B$35,$B$36,$B$38,$B$39)*100)</f>
        <v>7.1337419830699469</v>
      </c>
      <c r="D34" s="233"/>
      <c r="G34" s="15"/>
    </row>
    <row r="35" spans="1:7">
      <c r="A35" s="171" t="s">
        <v>74</v>
      </c>
      <c r="B35" s="33">
        <f>IF((($B$28-$B$32-$B$39-$B$77-$B$38)*C21/100)&lt;0,0,($B$28-$B$32-$B$39-$B$77-$B$38)*C21/100)</f>
        <v>1087.2310717797441</v>
      </c>
      <c r="C35" s="167">
        <f>IF(ISERROR(B35/SUM($B$32,$B$34,$B$35,$B$36,$B$38,$B$39)*100),0,B35/SUM($B$32,$B$34,$B$35,$B$36,$B$38,$B$39)*100)</f>
        <v>17.849795957638221</v>
      </c>
      <c r="D35" s="233"/>
      <c r="G35" s="15"/>
    </row>
    <row r="36" spans="1:7">
      <c r="A36" s="171" t="s">
        <v>75</v>
      </c>
      <c r="B36" s="33">
        <f>IF((($B$28-$B$32-$B$39-$B$77-$B$38)*C22/100)&lt;0,0,($B$28-$B$32-$B$39-$B$77-$B$38)*C22/100)</f>
        <v>391.25270403146504</v>
      </c>
      <c r="C36" s="167">
        <f>IF(ISERROR(B36/SUM($B$32,$B$34,$B$35,$B$36,$B$38,$B$39)*100),0,B36/SUM($B$32,$B$34,$B$35,$B$36,$B$38,$B$39)*100)</f>
        <v>6.4234559847556243</v>
      </c>
      <c r="D36" s="233"/>
      <c r="G36" s="15"/>
    </row>
    <row r="37" spans="1:7">
      <c r="A37" s="171" t="s">
        <v>76</v>
      </c>
      <c r="B37" s="34" t="s">
        <v>111</v>
      </c>
      <c r="C37" s="167"/>
      <c r="D37" s="173"/>
      <c r="G37" s="15"/>
    </row>
    <row r="38" spans="1:7">
      <c r="A38" s="171" t="s">
        <v>77</v>
      </c>
      <c r="B38" s="33">
        <f>IF((B24-(B29-B18)*0.1)&lt;0,0,B24-(B29-B18)*0.1)</f>
        <v>99.699999999999989</v>
      </c>
      <c r="C38" s="167">
        <f>IF(ISERROR(B38/SUM($B$32,$B$34,$B$35,$B$36,$B$38,$B$39)*100),0,B38/SUM($B$32,$B$34,$B$35,$B$36,$B$38,$B$39)*100)</f>
        <v>1.6368412411755044</v>
      </c>
      <c r="D38" s="234"/>
      <c r="G38" s="15"/>
    </row>
    <row r="39" spans="1:7">
      <c r="A39" s="171" t="s">
        <v>78</v>
      </c>
      <c r="B39" s="33">
        <f>IF((B25-(B29-B18))&lt;0,0,B25-(B29-B18)*0.9)</f>
        <v>633.29999999999995</v>
      </c>
      <c r="C39" s="167">
        <f>IF(ISERROR(B39/SUM($B$32,$B$34,$B$35,$B$36,$B$38,$B$39)*100),0,B39/SUM($B$32,$B$34,$B$35,$B$36,$B$38,$B$39)*100)</f>
        <v>10.39730750287309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3445</v>
      </c>
      <c r="C44" s="34" t="s">
        <v>111</v>
      </c>
      <c r="D44" s="174"/>
    </row>
    <row r="45" spans="1:7">
      <c r="A45" s="171" t="s">
        <v>72</v>
      </c>
      <c r="B45" s="33" t="str">
        <f t="shared" si="0"/>
        <v>-</v>
      </c>
      <c r="C45" s="34" t="s">
        <v>111</v>
      </c>
      <c r="D45" s="174"/>
    </row>
    <row r="46" spans="1:7">
      <c r="A46" s="171" t="s">
        <v>73</v>
      </c>
      <c r="B46" s="33">
        <f t="shared" si="0"/>
        <v>434.51622418879049</v>
      </c>
      <c r="C46" s="34" t="s">
        <v>111</v>
      </c>
      <c r="D46" s="174"/>
    </row>
    <row r="47" spans="1:7">
      <c r="A47" s="171" t="s">
        <v>74</v>
      </c>
      <c r="B47" s="33">
        <f t="shared" si="0"/>
        <v>1087.2310717797441</v>
      </c>
      <c r="C47" s="34" t="s">
        <v>111</v>
      </c>
      <c r="D47" s="174"/>
    </row>
    <row r="48" spans="1:7">
      <c r="A48" s="171" t="s">
        <v>75</v>
      </c>
      <c r="B48" s="33">
        <f t="shared" si="0"/>
        <v>391.25270403146504</v>
      </c>
      <c r="C48" s="33">
        <f>B48*10</f>
        <v>3912.5270403146505</v>
      </c>
      <c r="D48" s="234"/>
    </row>
    <row r="49" spans="1:6">
      <c r="A49" s="171" t="s">
        <v>76</v>
      </c>
      <c r="B49" s="33" t="str">
        <f t="shared" si="0"/>
        <v>-</v>
      </c>
      <c r="C49" s="34" t="s">
        <v>111</v>
      </c>
      <c r="D49" s="234"/>
    </row>
    <row r="50" spans="1:6">
      <c r="A50" s="171" t="s">
        <v>77</v>
      </c>
      <c r="B50" s="33">
        <f t="shared" si="0"/>
        <v>99.699999999999989</v>
      </c>
      <c r="C50" s="33">
        <f>B50*2</f>
        <v>199.39999999999998</v>
      </c>
      <c r="D50" s="234"/>
    </row>
    <row r="51" spans="1:6">
      <c r="A51" s="171" t="s">
        <v>78</v>
      </c>
      <c r="B51" s="33">
        <f t="shared" si="0"/>
        <v>633.29999999999995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330</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67</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19087.234637150003</v>
      </c>
      <c r="C5" s="17">
        <f>IF(ISERROR('Eigen informatie GS &amp; warmtenet'!B58),0,'Eigen informatie GS &amp; warmtenet'!B58)</f>
        <v>0</v>
      </c>
      <c r="D5" s="30">
        <f>SUM(D6:D12)</f>
        <v>44379.023290397621</v>
      </c>
      <c r="E5" s="17">
        <f>SUM(E6:E12)</f>
        <v>360.80546653908425</v>
      </c>
      <c r="F5" s="17">
        <f>SUM(F6:F12)</f>
        <v>5047.6026140169979</v>
      </c>
      <c r="G5" s="18"/>
      <c r="H5" s="17"/>
      <c r="I5" s="17"/>
      <c r="J5" s="17">
        <f>SUM(J6:J12)</f>
        <v>0</v>
      </c>
      <c r="K5" s="17"/>
      <c r="L5" s="17"/>
      <c r="M5" s="17"/>
      <c r="N5" s="17">
        <f>SUM(N6:N12)</f>
        <v>4029.114887951986</v>
      </c>
      <c r="O5" s="17">
        <f>B38*B39*B40</f>
        <v>6.2533333333333339</v>
      </c>
      <c r="P5" s="17">
        <f>B46*B47*B48/1000-B46*B47*B48/1000/B49</f>
        <v>38.133333333333333</v>
      </c>
      <c r="R5" s="32"/>
    </row>
    <row r="6" spans="1:18">
      <c r="A6" s="32" t="s">
        <v>54</v>
      </c>
      <c r="B6" s="37">
        <f>B26</f>
        <v>2445.9795767999999</v>
      </c>
      <c r="C6" s="33"/>
      <c r="D6" s="37">
        <f>IF(ISERROR(TER_kantoor_gas_kWh/1000),0,TER_kantoor_gas_kWh/1000)*0.902</f>
        <v>2779.7950535959999</v>
      </c>
      <c r="E6" s="33">
        <f>$C$26*'E Balans VL '!I12/100/3.6*1000000</f>
        <v>32.020885670252042</v>
      </c>
      <c r="F6" s="33">
        <f>$C$26*('E Balans VL '!L12+'E Balans VL '!N12)/100/3.6*1000000</f>
        <v>623.69951627522858</v>
      </c>
      <c r="G6" s="34"/>
      <c r="H6" s="33"/>
      <c r="I6" s="33"/>
      <c r="J6" s="33">
        <f>$C$26*('E Balans VL '!D12+'E Balans VL '!E12)/100/3.6*1000000</f>
        <v>0</v>
      </c>
      <c r="K6" s="33"/>
      <c r="L6" s="33"/>
      <c r="M6" s="33"/>
      <c r="N6" s="33">
        <f>$C$26*'E Balans VL '!Y12/100/3.6*1000000</f>
        <v>2.4542162820113353</v>
      </c>
      <c r="O6" s="33"/>
      <c r="P6" s="33"/>
      <c r="R6" s="32"/>
    </row>
    <row r="7" spans="1:18">
      <c r="A7" s="32" t="s">
        <v>53</v>
      </c>
      <c r="B7" s="37">
        <f t="shared" ref="B7:B12" si="0">B27</f>
        <v>3755.0811960999999</v>
      </c>
      <c r="C7" s="33"/>
      <c r="D7" s="37">
        <f>IF(ISERROR(TER_horeca_gas_kWh/1000),0,TER_horeca_gas_kWh/1000)*0.902</f>
        <v>14135.439099628</v>
      </c>
      <c r="E7" s="33">
        <f>$C$27*'E Balans VL '!I9/100/3.6*1000000</f>
        <v>124.27034619823013</v>
      </c>
      <c r="F7" s="33">
        <f>$C$27*('E Balans VL '!L9+'E Balans VL '!N9)/100/3.6*1000000</f>
        <v>1614.6705231086739</v>
      </c>
      <c r="G7" s="34"/>
      <c r="H7" s="33"/>
      <c r="I7" s="33"/>
      <c r="J7" s="33">
        <f>$C$27*('E Balans VL '!D9+'E Balans VL '!E9)/100/3.6*1000000</f>
        <v>0</v>
      </c>
      <c r="K7" s="33"/>
      <c r="L7" s="33"/>
      <c r="M7" s="33"/>
      <c r="N7" s="33">
        <f>$C$27*'E Balans VL '!Y9/100/3.6*1000000</f>
        <v>0.90390257366438154</v>
      </c>
      <c r="O7" s="33"/>
      <c r="P7" s="33"/>
      <c r="R7" s="32"/>
    </row>
    <row r="8" spans="1:18">
      <c r="A8" s="6" t="s">
        <v>52</v>
      </c>
      <c r="B8" s="37">
        <f t="shared" si="0"/>
        <v>5296.3640839</v>
      </c>
      <c r="C8" s="33"/>
      <c r="D8" s="37">
        <f>IF(ISERROR(TER_handel_gas_kWh/1000),0,TER_handel_gas_kWh/1000)*0.902</f>
        <v>2143.5602426744003</v>
      </c>
      <c r="E8" s="33">
        <f>$C$28*'E Balans VL '!I13/100/3.6*1000000</f>
        <v>167.16134309131502</v>
      </c>
      <c r="F8" s="33">
        <f>$C$28*('E Balans VL '!L13+'E Balans VL '!N13)/100/3.6*1000000</f>
        <v>1038.7102600340158</v>
      </c>
      <c r="G8" s="34"/>
      <c r="H8" s="33"/>
      <c r="I8" s="33"/>
      <c r="J8" s="33">
        <f>$C$28*('E Balans VL '!D13+'E Balans VL '!E13)/100/3.6*1000000</f>
        <v>0</v>
      </c>
      <c r="K8" s="33"/>
      <c r="L8" s="33"/>
      <c r="M8" s="33"/>
      <c r="N8" s="33">
        <f>$C$28*'E Balans VL '!Y13/100/3.6*1000000</f>
        <v>6.2857558911260112</v>
      </c>
      <c r="O8" s="33"/>
      <c r="P8" s="33"/>
      <c r="R8" s="32"/>
    </row>
    <row r="9" spans="1:18">
      <c r="A9" s="32" t="s">
        <v>51</v>
      </c>
      <c r="B9" s="37">
        <f t="shared" si="0"/>
        <v>831.19562363</v>
      </c>
      <c r="C9" s="33"/>
      <c r="D9" s="37">
        <f>IF(ISERROR(TER_gezond_gas_kWh/1000),0,TER_gezond_gas_kWh/1000)*0.902</f>
        <v>2427.0183696638001</v>
      </c>
      <c r="E9" s="33">
        <f>$C$29*'E Balans VL '!I10/100/3.6*1000000</f>
        <v>0.10641735591308089</v>
      </c>
      <c r="F9" s="33">
        <f>$C$29*('E Balans VL '!L10+'E Balans VL '!N10)/100/3.6*1000000</f>
        <v>173.17288700344258</v>
      </c>
      <c r="G9" s="34"/>
      <c r="H9" s="33"/>
      <c r="I9" s="33"/>
      <c r="J9" s="33">
        <f>$C$29*('E Balans VL '!D10+'E Balans VL '!E10)/100/3.6*1000000</f>
        <v>0</v>
      </c>
      <c r="K9" s="33"/>
      <c r="L9" s="33"/>
      <c r="M9" s="33"/>
      <c r="N9" s="33">
        <f>$C$29*'E Balans VL '!Y10/100/3.6*1000000</f>
        <v>9.7627854742356721</v>
      </c>
      <c r="O9" s="33"/>
      <c r="P9" s="33"/>
      <c r="R9" s="32"/>
    </row>
    <row r="10" spans="1:18">
      <c r="A10" s="32" t="s">
        <v>50</v>
      </c>
      <c r="B10" s="37">
        <f t="shared" si="0"/>
        <v>4899.5982002000001</v>
      </c>
      <c r="C10" s="33"/>
      <c r="D10" s="37">
        <f>IF(ISERROR(TER_ander_gas_kWh/1000),0,TER_ander_gas_kWh/1000)*0.902</f>
        <v>19923.865107695998</v>
      </c>
      <c r="E10" s="33">
        <f>$C$30*'E Balans VL '!I14/100/3.6*1000000</f>
        <v>7.3678434762094751</v>
      </c>
      <c r="F10" s="33">
        <f>$C$30*('E Balans VL '!L14+'E Balans VL '!N14)/100/3.6*1000000</f>
        <v>1081.6733460307757</v>
      </c>
      <c r="G10" s="34"/>
      <c r="H10" s="33"/>
      <c r="I10" s="33"/>
      <c r="J10" s="33">
        <f>$C$30*('E Balans VL '!D14+'E Balans VL '!E14)/100/3.6*1000000</f>
        <v>0</v>
      </c>
      <c r="K10" s="33"/>
      <c r="L10" s="33"/>
      <c r="M10" s="33"/>
      <c r="N10" s="33">
        <f>$C$30*'E Balans VL '!Y14/100/3.6*1000000</f>
        <v>3861.2131122843948</v>
      </c>
      <c r="O10" s="33"/>
      <c r="P10" s="33"/>
      <c r="R10" s="32"/>
    </row>
    <row r="11" spans="1:18">
      <c r="A11" s="32" t="s">
        <v>55</v>
      </c>
      <c r="B11" s="37">
        <f t="shared" si="0"/>
        <v>179.99862831999999</v>
      </c>
      <c r="C11" s="33"/>
      <c r="D11" s="37">
        <f>IF(ISERROR(TER_onderwijs_gas_kWh/1000),0,TER_onderwijs_gas_kWh/1000)*0.902</f>
        <v>413.59566042762003</v>
      </c>
      <c r="E11" s="33">
        <f>$C$31*'E Balans VL '!I11/100/3.6*1000000</f>
        <v>0.31699266830443384</v>
      </c>
      <c r="F11" s="33">
        <f>$C$31*('E Balans VL '!L11+'E Balans VL '!N11)/100/3.6*1000000</f>
        <v>83.1086237651365</v>
      </c>
      <c r="G11" s="34"/>
      <c r="H11" s="33"/>
      <c r="I11" s="33"/>
      <c r="J11" s="33">
        <f>$C$31*('E Balans VL '!D11+'E Balans VL '!E11)/100/3.6*1000000</f>
        <v>0</v>
      </c>
      <c r="K11" s="33"/>
      <c r="L11" s="33"/>
      <c r="M11" s="33"/>
      <c r="N11" s="33">
        <f>$C$31*'E Balans VL '!Y11/100/3.6*1000000</f>
        <v>0.33533993372135928</v>
      </c>
      <c r="O11" s="33"/>
      <c r="P11" s="33"/>
      <c r="R11" s="32"/>
    </row>
    <row r="12" spans="1:18">
      <c r="A12" s="32" t="s">
        <v>260</v>
      </c>
      <c r="B12" s="37">
        <f t="shared" si="0"/>
        <v>1679.0173282000001</v>
      </c>
      <c r="C12" s="33"/>
      <c r="D12" s="37">
        <f>IF(ISERROR(TER_rest_gas_kWh/1000),0,TER_rest_gas_kWh/1000)*0.902</f>
        <v>2555.7497567118003</v>
      </c>
      <c r="E12" s="33">
        <f>$C$32*'E Balans VL '!I8/100/3.6*1000000</f>
        <v>29.561638078860092</v>
      </c>
      <c r="F12" s="33">
        <f>$C$32*('E Balans VL '!L8+'E Balans VL '!N8)/100/3.6*1000000</f>
        <v>432.56745779972476</v>
      </c>
      <c r="G12" s="34"/>
      <c r="H12" s="33"/>
      <c r="I12" s="33"/>
      <c r="J12" s="33">
        <f>$C$32*('E Balans VL '!D8+'E Balans VL '!E8)/100/3.6*1000000</f>
        <v>0</v>
      </c>
      <c r="K12" s="33"/>
      <c r="L12" s="33"/>
      <c r="M12" s="33"/>
      <c r="N12" s="33">
        <f>$C$32*'E Balans VL '!Y8/100/3.6*1000000</f>
        <v>148.15977551283228</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19087.234637150003</v>
      </c>
      <c r="C16" s="21">
        <f t="shared" ca="1" si="1"/>
        <v>0</v>
      </c>
      <c r="D16" s="21">
        <f t="shared" ca="1" si="1"/>
        <v>44379.023290397621</v>
      </c>
      <c r="E16" s="21">
        <f t="shared" si="1"/>
        <v>360.80546653908425</v>
      </c>
      <c r="F16" s="21">
        <f t="shared" ca="1" si="1"/>
        <v>5047.6026140169979</v>
      </c>
      <c r="G16" s="21">
        <f t="shared" si="1"/>
        <v>0</v>
      </c>
      <c r="H16" s="21">
        <f t="shared" si="1"/>
        <v>0</v>
      </c>
      <c r="I16" s="21">
        <f t="shared" si="1"/>
        <v>0</v>
      </c>
      <c r="J16" s="21">
        <f t="shared" si="1"/>
        <v>0</v>
      </c>
      <c r="K16" s="21">
        <f t="shared" si="1"/>
        <v>0</v>
      </c>
      <c r="L16" s="21">
        <f t="shared" ca="1" si="1"/>
        <v>0</v>
      </c>
      <c r="M16" s="21">
        <f t="shared" si="1"/>
        <v>0</v>
      </c>
      <c r="N16" s="21">
        <f t="shared" ca="1" si="1"/>
        <v>4029.114887951986</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0.16229190339340685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3097.7036397796373</v>
      </c>
      <c r="C20" s="23">
        <f t="shared" ref="C20:P20" ca="1" si="2">C16*C18</f>
        <v>0</v>
      </c>
      <c r="D20" s="23">
        <f t="shared" ca="1" si="2"/>
        <v>8964.5627046603204</v>
      </c>
      <c r="E20" s="23">
        <f t="shared" si="2"/>
        <v>81.902840904372127</v>
      </c>
      <c r="F20" s="23">
        <f t="shared" ca="1" si="2"/>
        <v>1347.7098979425384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2445.9795767999999</v>
      </c>
      <c r="C26" s="39">
        <f>IF(ISERROR(B26*3.6/1000000/'E Balans VL '!Z12*100),0,B26*3.6/1000000/'E Balans VL '!Z12*100)</f>
        <v>5.239478274259602E-2</v>
      </c>
      <c r="D26" s="237" t="s">
        <v>660</v>
      </c>
      <c r="F26" s="6"/>
    </row>
    <row r="27" spans="1:18">
      <c r="A27" s="231" t="s">
        <v>53</v>
      </c>
      <c r="B27" s="33">
        <f>IF(ISERROR(TER_horeca_ele_kWh/1000),0,TER_horeca_ele_kWh/1000)</f>
        <v>3755.0811960999999</v>
      </c>
      <c r="C27" s="39">
        <f>IF(ISERROR(B27*3.6/1000000/'E Balans VL '!Z9*100),0,B27*3.6/1000000/'E Balans VL '!Z9*100)</f>
        <v>0.30133221345801664</v>
      </c>
      <c r="D27" s="237" t="s">
        <v>660</v>
      </c>
      <c r="F27" s="6"/>
    </row>
    <row r="28" spans="1:18">
      <c r="A28" s="171" t="s">
        <v>52</v>
      </c>
      <c r="B28" s="33">
        <f>IF(ISERROR(TER_handel_ele_kWh/1000),0,TER_handel_ele_kWh/1000)</f>
        <v>5296.3640839</v>
      </c>
      <c r="C28" s="39">
        <f>IF(ISERROR(B28*3.6/1000000/'E Balans VL '!Z13*100),0,B28*3.6/1000000/'E Balans VL '!Z13*100)</f>
        <v>0.15621236174237396</v>
      </c>
      <c r="D28" s="237" t="s">
        <v>660</v>
      </c>
      <c r="F28" s="6"/>
    </row>
    <row r="29" spans="1:18">
      <c r="A29" s="231" t="s">
        <v>51</v>
      </c>
      <c r="B29" s="33">
        <f>IF(ISERROR(TER_gezond_ele_kWh/1000),0,TER_gezond_ele_kWh/1000)</f>
        <v>831.19562363</v>
      </c>
      <c r="C29" s="39">
        <f>IF(ISERROR(B29*3.6/1000000/'E Balans VL '!Z10*100),0,B29*3.6/1000000/'E Balans VL '!Z10*100)</f>
        <v>8.8749407413326722E-2</v>
      </c>
      <c r="D29" s="237" t="s">
        <v>660</v>
      </c>
      <c r="F29" s="6"/>
    </row>
    <row r="30" spans="1:18">
      <c r="A30" s="231" t="s">
        <v>50</v>
      </c>
      <c r="B30" s="33">
        <f>IF(ISERROR(TER_ander_ele_kWh/1000),0,TER_ander_ele_kWh/1000)</f>
        <v>4899.5982002000001</v>
      </c>
      <c r="C30" s="39">
        <f>IF(ISERROR(B30*3.6/1000000/'E Balans VL '!Z14*100),0,B30*3.6/1000000/'E Balans VL '!Z14*100)</f>
        <v>0.37008589200716274</v>
      </c>
      <c r="D30" s="237" t="s">
        <v>660</v>
      </c>
      <c r="F30" s="6"/>
    </row>
    <row r="31" spans="1:18">
      <c r="A31" s="231" t="s">
        <v>55</v>
      </c>
      <c r="B31" s="33">
        <f>IF(ISERROR(TER_onderwijs_ele_kWh/1000),0,TER_onderwijs_ele_kWh/1000)</f>
        <v>179.99862831999999</v>
      </c>
      <c r="C31" s="39">
        <f>IF(ISERROR(B31*3.6/1000000/'E Balans VL '!Z11*100),0,B31*3.6/1000000/'E Balans VL '!Z11*100)</f>
        <v>3.6347731876227855E-2</v>
      </c>
      <c r="D31" s="237" t="s">
        <v>660</v>
      </c>
    </row>
    <row r="32" spans="1:18">
      <c r="A32" s="231" t="s">
        <v>260</v>
      </c>
      <c r="B32" s="33">
        <f>IF(ISERROR(TER_rest_ele_kWh/1000),0,TER_rest_ele_kWh/1000)</f>
        <v>1679.0173282000001</v>
      </c>
      <c r="C32" s="39">
        <f>IF(ISERROR(B32*3.6/1000000/'E Balans VL '!Z8*100),0,B32*3.6/1000000/'E Balans VL '!Z8*100)</f>
        <v>1.39213916655408E-2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13637.980270311002</v>
      </c>
      <c r="C5" s="17">
        <f>IF(ISERROR('Eigen informatie GS &amp; warmtenet'!B59),0,'Eigen informatie GS &amp; warmtenet'!B59)</f>
        <v>0</v>
      </c>
      <c r="D5" s="30">
        <f>SUM(D6:D15)</f>
        <v>18571.834717755439</v>
      </c>
      <c r="E5" s="17">
        <f>SUM(E6:E15)</f>
        <v>1657.8284315426617</v>
      </c>
      <c r="F5" s="17">
        <f>SUM(F6:F15)</f>
        <v>6685.4215056746361</v>
      </c>
      <c r="G5" s="18"/>
      <c r="H5" s="17"/>
      <c r="I5" s="17"/>
      <c r="J5" s="17">
        <f>SUM(J6:J15)</f>
        <v>55.644640008551377</v>
      </c>
      <c r="K5" s="17"/>
      <c r="L5" s="17"/>
      <c r="M5" s="17"/>
      <c r="N5" s="17">
        <f>SUM(N6:N15)</f>
        <v>3265.7852207812284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2644.8570107</v>
      </c>
      <c r="C8" s="33"/>
      <c r="D8" s="37">
        <f>IF( ISERROR(IND_metaal_Gas_kWH/1000),0,IND_metaal_Gas_kWH/1000)*0.902</f>
        <v>130.75598726673999</v>
      </c>
      <c r="E8" s="33">
        <f>C30*'E Balans VL '!I18/100/3.6*1000000</f>
        <v>95.169956479831129</v>
      </c>
      <c r="F8" s="33">
        <f>C30*'E Balans VL '!L18/100/3.6*1000000+C30*'E Balans VL '!N18/100/3.6*1000000</f>
        <v>1154.9233195328402</v>
      </c>
      <c r="G8" s="34"/>
      <c r="H8" s="33"/>
      <c r="I8" s="33"/>
      <c r="J8" s="40">
        <f>C30*'E Balans VL '!D18/100/3.6*1000000+C30*'E Balans VL '!E18/100/3.6*1000000</f>
        <v>0</v>
      </c>
      <c r="K8" s="33"/>
      <c r="L8" s="33"/>
      <c r="M8" s="33"/>
      <c r="N8" s="33">
        <f>C30*'E Balans VL '!Y18/100/3.6*1000000</f>
        <v>132.5584360054965</v>
      </c>
      <c r="O8" s="33"/>
      <c r="P8" s="33"/>
      <c r="R8" s="32"/>
    </row>
    <row r="9" spans="1:18">
      <c r="A9" s="6" t="s">
        <v>33</v>
      </c>
      <c r="B9" s="37">
        <f t="shared" si="0"/>
        <v>4928.0755815000002</v>
      </c>
      <c r="C9" s="33"/>
      <c r="D9" s="37">
        <f>IF( ISERROR(IND_andere_gas_kWh/1000),0,IND_andere_gas_kWh/1000)*0.902</f>
        <v>1062.058229496</v>
      </c>
      <c r="E9" s="33">
        <f>C31*'E Balans VL '!I19/100/3.6*1000000</f>
        <v>1257.5333875657464</v>
      </c>
      <c r="F9" s="33">
        <f>C31*'E Balans VL '!L19/100/3.6*1000000+C31*'E Balans VL '!N19/100/3.6*1000000</f>
        <v>4242.7026671105477</v>
      </c>
      <c r="G9" s="34"/>
      <c r="H9" s="33"/>
      <c r="I9" s="33"/>
      <c r="J9" s="40">
        <f>C31*'E Balans VL '!D19/100/3.6*1000000+C31*'E Balans VL '!E19/100/3.6*1000000</f>
        <v>0</v>
      </c>
      <c r="K9" s="33"/>
      <c r="L9" s="33"/>
      <c r="M9" s="33"/>
      <c r="N9" s="33">
        <f>C31*'E Balans VL '!Y19/100/3.6*1000000</f>
        <v>1541.1780032976926</v>
      </c>
      <c r="O9" s="33"/>
      <c r="P9" s="33"/>
      <c r="R9" s="32"/>
    </row>
    <row r="10" spans="1:18">
      <c r="A10" s="6" t="s">
        <v>41</v>
      </c>
      <c r="B10" s="37">
        <f t="shared" si="0"/>
        <v>484.21460506</v>
      </c>
      <c r="C10" s="33"/>
      <c r="D10" s="37">
        <f>IF( ISERROR(IND_voed_gas_kWh/1000),0,IND_voed_gas_kWh/1000)*0.902</f>
        <v>394.26503331270004</v>
      </c>
      <c r="E10" s="33">
        <f>C32*'E Balans VL '!I20/100/3.6*1000000</f>
        <v>12.309400141763829</v>
      </c>
      <c r="F10" s="33">
        <f>C32*'E Balans VL '!L20/100/3.6*1000000+C32*'E Balans VL '!N20/100/3.6*1000000</f>
        <v>109.57049643700398</v>
      </c>
      <c r="G10" s="34"/>
      <c r="H10" s="33"/>
      <c r="I10" s="33"/>
      <c r="J10" s="40">
        <f>C32*'E Balans VL '!D20/100/3.6*1000000+C32*'E Balans VL '!E20/100/3.6*1000000</f>
        <v>0</v>
      </c>
      <c r="K10" s="33"/>
      <c r="L10" s="33"/>
      <c r="M10" s="33"/>
      <c r="N10" s="33">
        <f>C32*'E Balans VL '!Y20/100/3.6*1000000</f>
        <v>181.59360205063041</v>
      </c>
      <c r="O10" s="33"/>
      <c r="P10" s="33"/>
      <c r="R10" s="32"/>
    </row>
    <row r="11" spans="1:18">
      <c r="A11" s="6" t="s">
        <v>40</v>
      </c>
      <c r="B11" s="37">
        <f t="shared" si="0"/>
        <v>21.175738380999999</v>
      </c>
      <c r="C11" s="33"/>
      <c r="D11" s="37">
        <f>IF( ISERROR(IND_textiel_gas_kWh/1000),0,IND_textiel_gas_kWh/1000)*0.902</f>
        <v>0</v>
      </c>
      <c r="E11" s="33">
        <f>C33*'E Balans VL '!I21/100/3.6*1000000</f>
        <v>5.8133096495765202E-2</v>
      </c>
      <c r="F11" s="33">
        <f>C33*'E Balans VL '!L21/100/3.6*1000000+C33*'E Balans VL '!N21/100/3.6*1000000</f>
        <v>1.1226493982873387</v>
      </c>
      <c r="G11" s="34"/>
      <c r="H11" s="33"/>
      <c r="I11" s="33"/>
      <c r="J11" s="40">
        <f>C33*'E Balans VL '!D21/100/3.6*1000000+C33*'E Balans VL '!E21/100/3.6*1000000</f>
        <v>0</v>
      </c>
      <c r="K11" s="33"/>
      <c r="L11" s="33"/>
      <c r="M11" s="33"/>
      <c r="N11" s="33">
        <f>C33*'E Balans VL '!Y21/100/3.6*1000000</f>
        <v>4.2559729929433285E-2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179.67917736999999</v>
      </c>
      <c r="C13" s="33"/>
      <c r="D13" s="37">
        <f>IF( ISERROR(IND_papier_gas_kWh/1000),0,IND_papier_gas_kWh/1000)*0.902</f>
        <v>0</v>
      </c>
      <c r="E13" s="33">
        <f>C35*'E Balans VL '!I23/100/3.6*1000000</f>
        <v>0.77059171987189556</v>
      </c>
      <c r="F13" s="33">
        <f>C35*'E Balans VL '!L23/100/3.6*1000000+C35*'E Balans VL '!N23/100/3.6*1000000</f>
        <v>4.5158954159721718</v>
      </c>
      <c r="G13" s="34"/>
      <c r="H13" s="33"/>
      <c r="I13" s="33"/>
      <c r="J13" s="40">
        <f>C35*'E Balans VL '!D23/100/3.6*1000000+C35*'E Balans VL '!E23/100/3.6*1000000</f>
        <v>12.028535425173102</v>
      </c>
      <c r="K13" s="33"/>
      <c r="L13" s="33"/>
      <c r="M13" s="33"/>
      <c r="N13" s="33">
        <f>C35*'E Balans VL '!Y23/100/3.6*1000000</f>
        <v>327.05883215200407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5379.9781573</v>
      </c>
      <c r="C15" s="33"/>
      <c r="D15" s="37">
        <f>IF( ISERROR(IND_rest_gas_kWh/1000),0,IND_rest_gas_kWh/1000)*0.902</f>
        <v>16984.755467679999</v>
      </c>
      <c r="E15" s="33">
        <f>C37*'E Balans VL '!I15/100/3.6*1000000</f>
        <v>291.98696253895287</v>
      </c>
      <c r="F15" s="33">
        <f>C37*'E Balans VL '!L15/100/3.6*1000000+C37*'E Balans VL '!N15/100/3.6*1000000</f>
        <v>1172.5864777799829</v>
      </c>
      <c r="G15" s="34"/>
      <c r="H15" s="33"/>
      <c r="I15" s="33"/>
      <c r="J15" s="40">
        <f>C37*'E Balans VL '!D15/100/3.6*1000000+C37*'E Balans VL '!E15/100/3.6*1000000</f>
        <v>43.616104583378274</v>
      </c>
      <c r="K15" s="33"/>
      <c r="L15" s="33"/>
      <c r="M15" s="33"/>
      <c r="N15" s="33">
        <f>C37*'E Balans VL '!Y15/100/3.6*1000000</f>
        <v>1083.3537875454754</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13637.980270311002</v>
      </c>
      <c r="C18" s="21">
        <f>C5+C16</f>
        <v>0</v>
      </c>
      <c r="D18" s="21">
        <f>MAX((D5+D16),0)</f>
        <v>18571.834717755439</v>
      </c>
      <c r="E18" s="21">
        <f>MAX((E5+E16),0)</f>
        <v>1657.8284315426617</v>
      </c>
      <c r="F18" s="21">
        <f>MAX((F5+F16),0)</f>
        <v>6685.4215056746361</v>
      </c>
      <c r="G18" s="21"/>
      <c r="H18" s="21"/>
      <c r="I18" s="21"/>
      <c r="J18" s="21">
        <f>MAX((J5+J16),0)</f>
        <v>55.644640008551377</v>
      </c>
      <c r="K18" s="21"/>
      <c r="L18" s="21">
        <f>MAX((L5+L16),0)</f>
        <v>0</v>
      </c>
      <c r="M18" s="21"/>
      <c r="N18" s="21">
        <f>MAX((N5+N16),0)</f>
        <v>3265.7852207812284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0.16229190339340685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2213.3337765105016</v>
      </c>
      <c r="C22" s="23">
        <f ca="1">C18*C20</f>
        <v>0</v>
      </c>
      <c r="D22" s="23">
        <f>D18*D20</f>
        <v>3751.510612986599</v>
      </c>
      <c r="E22" s="23">
        <f>E18*E20</f>
        <v>376.32705396018423</v>
      </c>
      <c r="F22" s="23">
        <f>F18*F20</f>
        <v>1785.0075420151279</v>
      </c>
      <c r="G22" s="23"/>
      <c r="H22" s="23"/>
      <c r="I22" s="23"/>
      <c r="J22" s="23">
        <f>J18*J20</f>
        <v>19.698202563027188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2644.8570107</v>
      </c>
      <c r="C30" s="39">
        <f>IF(ISERROR(B30*3.6/1000000/'E Balans VL '!Z18*100),0,B30*3.6/1000000/'E Balans VL '!Z18*100)</f>
        <v>0.56038849632749155</v>
      </c>
      <c r="D30" s="237" t="s">
        <v>660</v>
      </c>
    </row>
    <row r="31" spans="1:18">
      <c r="A31" s="6" t="s">
        <v>33</v>
      </c>
      <c r="B31" s="37">
        <f>IF( ISERROR(IND_ander_ele_kWh/1000),0,IND_ander_ele_kWh/1000)</f>
        <v>4928.0755815000002</v>
      </c>
      <c r="C31" s="39">
        <f>IF(ISERROR(B31*3.6/1000000/'E Balans VL '!Z19*100),0,B31*3.6/1000000/'E Balans VL '!Z19*100)</f>
        <v>0.20743389123474651</v>
      </c>
      <c r="D31" s="237" t="s">
        <v>660</v>
      </c>
    </row>
    <row r="32" spans="1:18">
      <c r="A32" s="171" t="s">
        <v>41</v>
      </c>
      <c r="B32" s="37">
        <f>IF( ISERROR(IND_voed_ele_kWh/1000),0,IND_voed_ele_kWh/1000)</f>
        <v>484.21460506</v>
      </c>
      <c r="C32" s="39">
        <f>IF(ISERROR(B32*3.6/1000000/'E Balans VL '!Z20*100),0,B32*3.6/1000000/'E Balans VL '!Z20*100)</f>
        <v>8.0893528286735447E-2</v>
      </c>
      <c r="D32" s="237" t="s">
        <v>660</v>
      </c>
    </row>
    <row r="33" spans="1:5">
      <c r="A33" s="171" t="s">
        <v>40</v>
      </c>
      <c r="B33" s="37">
        <f>IF( ISERROR(IND_textiel_ele_kWh/1000),0,IND_textiel_ele_kWh/1000)</f>
        <v>21.175738380999999</v>
      </c>
      <c r="C33" s="39">
        <f>IF(ISERROR(B33*3.6/1000000/'E Balans VL '!Z21*100),0,B33*3.6/1000000/'E Balans VL '!Z21*100)</f>
        <v>1.2363029754374232E-3</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179.67917736999999</v>
      </c>
      <c r="C35" s="39">
        <f>IF(ISERROR(B35*3.6/1000000/'E Balans VL '!Z22*100),0,B35*3.6/1000000/'E Balans VL '!Z22*100)</f>
        <v>2.2775304738589131E-2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5379.9781573</v>
      </c>
      <c r="C37" s="39">
        <f>IF(ISERROR(B37*3.6/1000000/'E Balans VL '!Z15*100),0,B37*3.6/1000000/'E Balans VL '!Z15*100)</f>
        <v>4.3434646886907319E-2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4239.9816578</v>
      </c>
      <c r="C5" s="17">
        <f>'Eigen informatie GS &amp; warmtenet'!B60</f>
        <v>0</v>
      </c>
      <c r="D5" s="30">
        <f>IF(ISERROR(SUM(LB_lb_gas_kWh,LB_rest_gas_kWh,onbekend_gas_kWh)/1000),0,SUM(LB_lb_gas_kWh,LB_rest_gas_kWh,onbekend_gas_kWh)/1000)*0.902</f>
        <v>1592.7285875797782</v>
      </c>
      <c r="E5" s="17">
        <f>B17*'E Balans VL '!I25/3.6*1000000/100</f>
        <v>109.33284730726351</v>
      </c>
      <c r="F5" s="17">
        <f>B17*('E Balans VL '!L25/3.6*1000000+'E Balans VL '!N25/3.6*1000000)/100</f>
        <v>15497.940424541372</v>
      </c>
      <c r="G5" s="18"/>
      <c r="H5" s="17"/>
      <c r="I5" s="17"/>
      <c r="J5" s="17">
        <f>('E Balans VL '!D25+'E Balans VL '!E25)/3.6*1000000*landbouw!B17/100</f>
        <v>610.40138397195403</v>
      </c>
      <c r="K5" s="17"/>
      <c r="L5" s="17">
        <f>L6*(-1)</f>
        <v>0</v>
      </c>
      <c r="M5" s="17"/>
      <c r="N5" s="17">
        <f>N6*(-1)</f>
        <v>31856.142857142859</v>
      </c>
      <c r="O5" s="17"/>
      <c r="P5" s="17"/>
      <c r="R5" s="32"/>
    </row>
    <row r="6" spans="1:18">
      <c r="A6" s="16" t="s">
        <v>491</v>
      </c>
      <c r="B6" s="17" t="s">
        <v>211</v>
      </c>
      <c r="C6" s="17">
        <f>'lokale energieproductie'!O91+'lokale energieproductie'!O60</f>
        <v>15928.071428571429</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-31856.142857142859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4239.9816578</v>
      </c>
      <c r="C8" s="21">
        <f>C5+C6</f>
        <v>15928.071428571429</v>
      </c>
      <c r="D8" s="21">
        <f>MAX((D5+D6),0)</f>
        <v>1592.7285875797782</v>
      </c>
      <c r="E8" s="21">
        <f>MAX((E5+E6),0)</f>
        <v>109.33284730726351</v>
      </c>
      <c r="F8" s="21">
        <f>MAX((F5+F6),0)</f>
        <v>15497.940424541372</v>
      </c>
      <c r="G8" s="21"/>
      <c r="H8" s="21"/>
      <c r="I8" s="21"/>
      <c r="J8" s="21">
        <f>MAX((J5+J6),0)</f>
        <v>610.40138397195403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0.16229190339340685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688.11469359749458</v>
      </c>
      <c r="C12" s="23">
        <f ca="1">C8*C10</f>
        <v>0</v>
      </c>
      <c r="D12" s="23">
        <f>D8*D10</f>
        <v>321.7311746911152</v>
      </c>
      <c r="E12" s="23">
        <f>E8*E10</f>
        <v>24.818556338748817</v>
      </c>
      <c r="F12" s="23">
        <f>F8*F10</f>
        <v>4137.9500933525469</v>
      </c>
      <c r="G12" s="23"/>
      <c r="H12" s="23"/>
      <c r="I12" s="23"/>
      <c r="J12" s="23">
        <f>J8*J10</f>
        <v>216.08208992607172</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0.59786549875855466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1171.3103900828462</v>
      </c>
      <c r="C26" s="247">
        <f>B26*'GWP N2O_CH4'!B5</f>
        <v>24597.518191739771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464.69487901158203</v>
      </c>
      <c r="C27" s="247">
        <f>B27*'GWP N2O_CH4'!B5</f>
        <v>9758.592459243222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14.29832791548605</v>
      </c>
      <c r="C28" s="247">
        <f>B28*'GWP N2O_CH4'!B4</f>
        <v>4432.4816538006753</v>
      </c>
      <c r="D28" s="50"/>
    </row>
    <row r="29" spans="1:4">
      <c r="A29" s="41" t="s">
        <v>277</v>
      </c>
      <c r="B29" s="247">
        <f>B34*'ha_N2O bodem landbouw'!B4</f>
        <v>30.895184057011861</v>
      </c>
      <c r="C29" s="247">
        <f>B29*'GWP N2O_CH4'!B4</f>
        <v>9577.5070576736762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6.9530953059673125E-3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2.057111673148141E-4</v>
      </c>
      <c r="C5" s="463" t="s">
        <v>211</v>
      </c>
      <c r="D5" s="448">
        <f>SUM(D6:D11)</f>
        <v>4.5528000011107621E-4</v>
      </c>
      <c r="E5" s="448">
        <f>SUM(E6:E11)</f>
        <v>2.04008878872194E-3</v>
      </c>
      <c r="F5" s="461" t="s">
        <v>211</v>
      </c>
      <c r="G5" s="448">
        <f>SUM(G6:G11)</f>
        <v>0.7830943712509445</v>
      </c>
      <c r="H5" s="448">
        <f>SUM(H6:H11)</f>
        <v>0.12590898361680017</v>
      </c>
      <c r="I5" s="463" t="s">
        <v>211</v>
      </c>
      <c r="J5" s="463" t="s">
        <v>211</v>
      </c>
      <c r="K5" s="463" t="s">
        <v>211</v>
      </c>
      <c r="L5" s="463" t="s">
        <v>211</v>
      </c>
      <c r="M5" s="448">
        <f>SUM(M6:M11)</f>
        <v>2.8442934536663265E-2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4.8733217833596426E-5</v>
      </c>
      <c r="C6" s="449"/>
      <c r="D6" s="962">
        <f>vkm_2011_GW_PW*SUMIFS(TableVerdeelsleutelVkm[CNG],TableVerdeelsleutelVkm[Voertuigtype],"Lichte voertuigen")*SUMIFS(TableECFTransport[EnergieConsumptieFactor (PJ per km)],TableECFTransport[Index],CONCATENATE($A6,"_CNG_CNG"))</f>
        <v>9.6833757472445701E-5</v>
      </c>
      <c r="E6" s="962">
        <f>vkm_2011_GW_PW*SUMIFS(TableVerdeelsleutelVkm[LPG],TableVerdeelsleutelVkm[Voertuigtype],"Lichte voertuigen")*SUMIFS(TableECFTransport[EnergieConsumptieFactor (PJ per km)],TableECFTransport[Index],CONCATENATE($A6,"_LPG_LPG"))</f>
        <v>3.8107554795393866E-4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9.0606689838943807E-2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2.6215811326980355E-2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3.6402970118050333E-3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4.9740319433308748E-2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1.6068247760479948E-5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1.567241358871286E-3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2.2192681666943632E-5</v>
      </c>
      <c r="C8" s="449"/>
      <c r="D8" s="451">
        <f>vkm_2011_NGW_PW*SUMIFS(TableVerdeelsleutelVkm[CNG],TableVerdeelsleutelVkm[Voertuigtype],"Lichte voertuigen")*SUMIFS(TableECFTransport[EnergieConsumptieFactor (PJ per km)],TableECFTransport[Index],CONCATENATE($A8,"_CNG_CNG"))</f>
        <v>7.8080138562568982E-5</v>
      </c>
      <c r="E8" s="451">
        <f>vkm_2011_NGW_PW*SUMIFS(TableVerdeelsleutelVkm[LPG],TableVerdeelsleutelVkm[Voertuigtype],"Lichte voertuigen")*SUMIFS(TableECFTransport[EnergieConsumptieFactor (PJ per km)],TableECFTransport[Index],CONCATENATE($A8,"_LPG_LPG"))</f>
        <v>2.8417355038408545E-4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6.3094516594608255E-2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2.0497179725994727E-2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2.6021768881401767E-3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3.2496916479813363E-2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9.9280835293614287E-6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1.0239110251283104E-3</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1.3478526781427404E-4</v>
      </c>
      <c r="C10" s="449"/>
      <c r="D10" s="451">
        <f>vkm_2011_SW_PW*SUMIFS(TableVerdeelsleutelVkm[CNG],TableVerdeelsleutelVkm[Voertuigtype],"Lichte voertuigen")*SUMIFS(TableECFTransport[EnergieConsumptieFactor (PJ per km)],TableECFTransport[Index],CONCATENATE($A10,"_CNG_CNG"))</f>
        <v>2.8036610407606151E-4</v>
      </c>
      <c r="E10" s="451">
        <f>vkm_2011_SW_PW*SUMIFS(TableVerdeelsleutelVkm[LPG],TableVerdeelsleutelVkm[Voertuigtype],"Lichte voertuigen")*SUMIFS(TableECFTransport[EnergieConsumptieFactor (PJ per km)],TableECFTransport[Index],CONCATENATE($A10,"_LPG_LPG"))</f>
        <v>1.3748396903839159E-3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0.29282506865974522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7.9081474217365499E-2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1.1595541166556962E-2</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0.25433086024452511</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8.8522015169720288E-5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8.0137670861614996E-3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57.141990920781701</v>
      </c>
      <c r="C14" s="21"/>
      <c r="D14" s="21">
        <f t="shared" ref="D14:M14" si="0">((D5)*10^9/3600)+D12</f>
        <v>126.46666669752118</v>
      </c>
      <c r="E14" s="21">
        <f t="shared" si="0"/>
        <v>566.69133020053891</v>
      </c>
      <c r="F14" s="21"/>
      <c r="G14" s="21">
        <f t="shared" si="0"/>
        <v>217526.21423637346</v>
      </c>
      <c r="H14" s="21">
        <f t="shared" si="0"/>
        <v>34974.717671333383</v>
      </c>
      <c r="I14" s="21"/>
      <c r="J14" s="21"/>
      <c r="K14" s="21"/>
      <c r="L14" s="21"/>
      <c r="M14" s="21">
        <f t="shared" si="0"/>
        <v>7900.8151490731289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0.16229190339340685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9.2736824702224361</v>
      </c>
      <c r="C18" s="23"/>
      <c r="D18" s="23">
        <f t="shared" ref="D18:M18" si="1">D14*D16</f>
        <v>25.546266672899279</v>
      </c>
      <c r="E18" s="23">
        <f t="shared" si="1"/>
        <v>128.63893195552234</v>
      </c>
      <c r="F18" s="23"/>
      <c r="G18" s="23">
        <f t="shared" si="1"/>
        <v>58079.499201111714</v>
      </c>
      <c r="H18" s="23">
        <f t="shared" si="1"/>
        <v>8708.7047001620122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3.6840598813503577E-3</v>
      </c>
      <c r="H50" s="321">
        <f t="shared" si="2"/>
        <v>0</v>
      </c>
      <c r="I50" s="321">
        <f t="shared" si="2"/>
        <v>0</v>
      </c>
      <c r="J50" s="321">
        <f t="shared" si="2"/>
        <v>0</v>
      </c>
      <c r="K50" s="321">
        <f t="shared" si="2"/>
        <v>0</v>
      </c>
      <c r="L50" s="321">
        <f t="shared" si="2"/>
        <v>0</v>
      </c>
      <c r="M50" s="321">
        <f t="shared" si="2"/>
        <v>1.1427129560670993E-4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3.6840598813503577E-3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1.1427129560670993E-4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1023.349967041766</v>
      </c>
      <c r="H54" s="21">
        <f t="shared" si="3"/>
        <v>0</v>
      </c>
      <c r="I54" s="21">
        <f t="shared" si="3"/>
        <v>0</v>
      </c>
      <c r="J54" s="21">
        <f t="shared" si="3"/>
        <v>0</v>
      </c>
      <c r="K54" s="21">
        <f t="shared" si="3"/>
        <v>0</v>
      </c>
      <c r="L54" s="21">
        <f t="shared" si="3"/>
        <v>0</v>
      </c>
      <c r="M54" s="21">
        <f t="shared" si="3"/>
        <v>31.742026557419425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0.16229190339340685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273.23444120015154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6829.1724794466272</v>
      </c>
      <c r="C6" s="1203"/>
      <c r="D6" s="1188"/>
      <c r="E6" s="1188"/>
      <c r="F6" s="1206"/>
      <c r="G6" s="1209"/>
      <c r="H6" s="1200"/>
      <c r="I6" s="1188"/>
      <c r="J6" s="1188"/>
      <c r="K6" s="1188"/>
      <c r="L6" s="1192"/>
      <c r="M6" s="575"/>
      <c r="N6" s="1166"/>
      <c r="O6" s="1167"/>
      <c r="Q6" s="573"/>
      <c r="R6" s="1154"/>
      <c r="S6" s="1154"/>
    </row>
    <row r="7" spans="1:19" s="563" customFormat="1">
      <c r="A7" s="576" t="s">
        <v>252</v>
      </c>
      <c r="B7" s="577">
        <f>N57</f>
        <v>11149.65</v>
      </c>
      <c r="C7" s="578">
        <f>B100</f>
        <v>0</v>
      </c>
      <c r="D7" s="579"/>
      <c r="E7" s="579">
        <f>E100</f>
        <v>0</v>
      </c>
      <c r="F7" s="580"/>
      <c r="G7" s="581"/>
      <c r="H7" s="579">
        <f>I100</f>
        <v>0</v>
      </c>
      <c r="I7" s="579">
        <f>G100+F100</f>
        <v>0</v>
      </c>
      <c r="J7" s="579">
        <f>H100+D100+C100</f>
        <v>13117.235294117647</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17978.822479446626</v>
      </c>
      <c r="C9" s="594">
        <f t="shared" ref="C9:L9" si="0">SUM(C7:C8)</f>
        <v>0</v>
      </c>
      <c r="D9" s="594">
        <f t="shared" si="0"/>
        <v>0</v>
      </c>
      <c r="E9" s="594">
        <f t="shared" si="0"/>
        <v>0</v>
      </c>
      <c r="F9" s="594">
        <f t="shared" si="0"/>
        <v>0</v>
      </c>
      <c r="G9" s="594">
        <f t="shared" si="0"/>
        <v>0</v>
      </c>
      <c r="H9" s="594">
        <f t="shared" si="0"/>
        <v>0</v>
      </c>
      <c r="I9" s="594">
        <f t="shared" si="0"/>
        <v>0</v>
      </c>
      <c r="J9" s="594">
        <f t="shared" si="0"/>
        <v>13117.235294117647</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15928.071428571429</v>
      </c>
      <c r="C16" s="610">
        <f>B101</f>
        <v>0</v>
      </c>
      <c r="D16" s="611"/>
      <c r="E16" s="611">
        <f>E101</f>
        <v>0</v>
      </c>
      <c r="F16" s="612"/>
      <c r="G16" s="613"/>
      <c r="H16" s="610">
        <f>I101</f>
        <v>0</v>
      </c>
      <c r="I16" s="611">
        <f>G101+F101</f>
        <v>0</v>
      </c>
      <c r="J16" s="611">
        <f>H101+D101+C101</f>
        <v>18738.907563025212</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15928.071428571429</v>
      </c>
      <c r="C19" s="593">
        <f>SUM(C16:C18)</f>
        <v>0</v>
      </c>
      <c r="D19" s="593">
        <f t="shared" ref="D19:M19" si="1">SUM(D16:D18)</f>
        <v>0</v>
      </c>
      <c r="E19" s="593">
        <f t="shared" si="1"/>
        <v>0</v>
      </c>
      <c r="F19" s="593">
        <f t="shared" si="1"/>
        <v>0</v>
      </c>
      <c r="G19" s="593">
        <f t="shared" si="1"/>
        <v>0</v>
      </c>
      <c r="H19" s="593">
        <f t="shared" si="1"/>
        <v>0</v>
      </c>
      <c r="I19" s="593">
        <f t="shared" si="1"/>
        <v>0</v>
      </c>
      <c r="J19" s="593">
        <f t="shared" si="1"/>
        <v>18738.907563025212</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31003</v>
      </c>
      <c r="C27" s="851">
        <v>8730</v>
      </c>
      <c r="D27" s="672" t="s">
        <v>818</v>
      </c>
      <c r="E27" s="671" t="s">
        <v>819</v>
      </c>
      <c r="F27" s="671" t="s">
        <v>820</v>
      </c>
      <c r="G27" s="671" t="s">
        <v>821</v>
      </c>
      <c r="H27" s="671" t="s">
        <v>822</v>
      </c>
      <c r="I27" s="671" t="s">
        <v>819</v>
      </c>
      <c r="J27" s="850">
        <v>39280</v>
      </c>
      <c r="K27" s="850">
        <v>39280</v>
      </c>
      <c r="L27" s="671" t="s">
        <v>823</v>
      </c>
      <c r="M27" s="671">
        <v>2461</v>
      </c>
      <c r="N27" s="671">
        <v>11074.5</v>
      </c>
      <c r="O27" s="671">
        <v>15820.714285714286</v>
      </c>
      <c r="P27" s="671">
        <v>0</v>
      </c>
      <c r="Q27" s="671">
        <v>31641.428571428572</v>
      </c>
      <c r="R27" s="671">
        <v>0</v>
      </c>
      <c r="S27" s="671">
        <v>0</v>
      </c>
      <c r="T27" s="671">
        <v>0</v>
      </c>
      <c r="U27" s="671">
        <v>0</v>
      </c>
      <c r="V27" s="671">
        <v>0</v>
      </c>
      <c r="W27" s="671">
        <v>0</v>
      </c>
      <c r="X27" s="671">
        <v>10</v>
      </c>
      <c r="Y27" s="671" t="s">
        <v>112</v>
      </c>
      <c r="Z27" s="673" t="s">
        <v>112</v>
      </c>
    </row>
    <row r="28" spans="1:26" s="625" customFormat="1" ht="25.5">
      <c r="A28" s="624"/>
      <c r="B28" s="851">
        <v>31003</v>
      </c>
      <c r="C28" s="851">
        <v>8730</v>
      </c>
      <c r="D28" s="672" t="s">
        <v>824</v>
      </c>
      <c r="E28" s="671" t="s">
        <v>825</v>
      </c>
      <c r="F28" s="671" t="s">
        <v>826</v>
      </c>
      <c r="G28" s="671" t="s">
        <v>821</v>
      </c>
      <c r="H28" s="671" t="s">
        <v>822</v>
      </c>
      <c r="I28" s="671" t="s">
        <v>825</v>
      </c>
      <c r="J28" s="850">
        <v>41459</v>
      </c>
      <c r="K28" s="850">
        <v>41459</v>
      </c>
      <c r="L28" s="671" t="s">
        <v>823</v>
      </c>
      <c r="M28" s="671">
        <v>7</v>
      </c>
      <c r="N28" s="671">
        <v>31.5</v>
      </c>
      <c r="O28" s="671">
        <v>45</v>
      </c>
      <c r="P28" s="671">
        <v>0</v>
      </c>
      <c r="Q28" s="671">
        <v>90</v>
      </c>
      <c r="R28" s="671">
        <v>0</v>
      </c>
      <c r="S28" s="671">
        <v>0</v>
      </c>
      <c r="T28" s="671">
        <v>0</v>
      </c>
      <c r="U28" s="671">
        <v>0</v>
      </c>
      <c r="V28" s="671">
        <v>0</v>
      </c>
      <c r="W28" s="671">
        <v>0</v>
      </c>
      <c r="X28" s="671">
        <v>10</v>
      </c>
      <c r="Y28" s="671" t="s">
        <v>112</v>
      </c>
      <c r="Z28" s="673" t="s">
        <v>112</v>
      </c>
    </row>
    <row r="29" spans="1:26" s="625" customFormat="1" ht="25.5">
      <c r="A29" s="624"/>
      <c r="B29" s="851">
        <v>31003</v>
      </c>
      <c r="C29" s="851">
        <v>8730</v>
      </c>
      <c r="D29" s="672" t="s">
        <v>827</v>
      </c>
      <c r="E29" s="671" t="s">
        <v>828</v>
      </c>
      <c r="F29" s="671" t="s">
        <v>829</v>
      </c>
      <c r="G29" s="671" t="s">
        <v>821</v>
      </c>
      <c r="H29" s="671" t="s">
        <v>822</v>
      </c>
      <c r="I29" s="671" t="s">
        <v>828</v>
      </c>
      <c r="J29" s="850">
        <v>41810</v>
      </c>
      <c r="K29" s="850">
        <v>41810</v>
      </c>
      <c r="L29" s="671" t="s">
        <v>823</v>
      </c>
      <c r="M29" s="671">
        <v>9.6999999999999993</v>
      </c>
      <c r="N29" s="671">
        <v>43.649999999999991</v>
      </c>
      <c r="O29" s="671">
        <v>62.357142857142847</v>
      </c>
      <c r="P29" s="671">
        <v>0</v>
      </c>
      <c r="Q29" s="671">
        <v>124.71428571428569</v>
      </c>
      <c r="R29" s="671">
        <v>0</v>
      </c>
      <c r="S29" s="671">
        <v>0</v>
      </c>
      <c r="T29" s="671">
        <v>0</v>
      </c>
      <c r="U29" s="671">
        <v>0</v>
      </c>
      <c r="V29" s="671">
        <v>0</v>
      </c>
      <c r="W29" s="671">
        <v>0</v>
      </c>
      <c r="X29" s="671">
        <v>10</v>
      </c>
      <c r="Y29" s="671" t="s">
        <v>112</v>
      </c>
      <c r="Z29" s="673" t="s">
        <v>112</v>
      </c>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2477.6999999999998</v>
      </c>
      <c r="N57" s="629">
        <f>SUM(N27:N56)</f>
        <v>11149.65</v>
      </c>
      <c r="O57" s="629">
        <f t="shared" ref="O57:W57" si="2">SUM(O27:O56)</f>
        <v>15928.071428571429</v>
      </c>
      <c r="P57" s="629">
        <f t="shared" si="2"/>
        <v>0</v>
      </c>
      <c r="Q57" s="629">
        <f t="shared" si="2"/>
        <v>31856.142857142859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2477.6999999999998</v>
      </c>
      <c r="N60" s="634">
        <f t="shared" ref="N60:W60" si="4">SUMIF($Z$27:$Z$56,"landbouw",N27:N56)</f>
        <v>11149.65</v>
      </c>
      <c r="O60" s="634">
        <f t="shared" si="4"/>
        <v>15928.071428571429</v>
      </c>
      <c r="P60" s="634">
        <f t="shared" si="4"/>
        <v>0</v>
      </c>
      <c r="Q60" s="634">
        <f t="shared" si="4"/>
        <v>31856.142857142859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13117.235294117647</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18738.907563025212</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20205.669637150004</v>
      </c>
      <c r="D10" s="718">
        <f ca="1">tertiair!C16</f>
        <v>0</v>
      </c>
      <c r="E10" s="718">
        <f ca="1">tertiair!D16</f>
        <v>44379.023290397621</v>
      </c>
      <c r="F10" s="718">
        <f>tertiair!E16</f>
        <v>360.80546653908425</v>
      </c>
      <c r="G10" s="718">
        <f ca="1">tertiair!F16</f>
        <v>5047.6026140169979</v>
      </c>
      <c r="H10" s="718">
        <f>tertiair!G16</f>
        <v>0</v>
      </c>
      <c r="I10" s="718">
        <f>tertiair!H16</f>
        <v>0</v>
      </c>
      <c r="J10" s="718">
        <f>tertiair!I16</f>
        <v>0</v>
      </c>
      <c r="K10" s="718">
        <f>tertiair!J16</f>
        <v>0</v>
      </c>
      <c r="L10" s="718">
        <f>tertiair!K16</f>
        <v>0</v>
      </c>
      <c r="M10" s="718">
        <f ca="1">tertiair!L16</f>
        <v>0</v>
      </c>
      <c r="N10" s="718">
        <f>tertiair!M16</f>
        <v>0</v>
      </c>
      <c r="O10" s="718">
        <f ca="1">tertiair!N16</f>
        <v>4029.114887951986</v>
      </c>
      <c r="P10" s="718">
        <f>tertiair!O16</f>
        <v>6.2533333333333339</v>
      </c>
      <c r="Q10" s="719">
        <f>tertiair!P16</f>
        <v>38.133333333333333</v>
      </c>
      <c r="R10" s="721">
        <f ca="1">SUM(C10:Q10)</f>
        <v>74066.602562722357</v>
      </c>
      <c r="S10" s="67"/>
    </row>
    <row r="11" spans="1:19" s="474" customFormat="1">
      <c r="A11" s="870" t="s">
        <v>225</v>
      </c>
      <c r="B11" s="875"/>
      <c r="C11" s="718">
        <f>huishoudens!B8</f>
        <v>29538.473389655723</v>
      </c>
      <c r="D11" s="718">
        <f>huishoudens!C8</f>
        <v>0</v>
      </c>
      <c r="E11" s="718">
        <f>huishoudens!D8</f>
        <v>45695.857577568</v>
      </c>
      <c r="F11" s="718">
        <f>huishoudens!E8</f>
        <v>9827.8392025865578</v>
      </c>
      <c r="G11" s="718">
        <f>huishoudens!F8</f>
        <v>15415.886215747971</v>
      </c>
      <c r="H11" s="718">
        <f>huishoudens!G8</f>
        <v>0</v>
      </c>
      <c r="I11" s="718">
        <f>huishoudens!H8</f>
        <v>0</v>
      </c>
      <c r="J11" s="718">
        <f>huishoudens!I8</f>
        <v>0</v>
      </c>
      <c r="K11" s="718">
        <f>huishoudens!J8</f>
        <v>3086.1716380559396</v>
      </c>
      <c r="L11" s="718">
        <f>huishoudens!K8</f>
        <v>0</v>
      </c>
      <c r="M11" s="718">
        <f>huishoudens!L8</f>
        <v>0</v>
      </c>
      <c r="N11" s="718">
        <f>huishoudens!M8</f>
        <v>0</v>
      </c>
      <c r="O11" s="718">
        <f>huishoudens!N8</f>
        <v>25132.623416822455</v>
      </c>
      <c r="P11" s="718">
        <f>huishoudens!O8</f>
        <v>515.9</v>
      </c>
      <c r="Q11" s="719">
        <f>huishoudens!P8</f>
        <v>1277.4666666666667</v>
      </c>
      <c r="R11" s="721">
        <f>SUM(C11:Q11)</f>
        <v>130490.2181071033</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13637.980270311002</v>
      </c>
      <c r="D13" s="718">
        <f>industrie!C18</f>
        <v>0</v>
      </c>
      <c r="E13" s="718">
        <f>industrie!D18</f>
        <v>18571.834717755439</v>
      </c>
      <c r="F13" s="718">
        <f>industrie!E18</f>
        <v>1657.8284315426617</v>
      </c>
      <c r="G13" s="718">
        <f>industrie!F18</f>
        <v>6685.4215056746361</v>
      </c>
      <c r="H13" s="718">
        <f>industrie!G18</f>
        <v>0</v>
      </c>
      <c r="I13" s="718">
        <f>industrie!H18</f>
        <v>0</v>
      </c>
      <c r="J13" s="718">
        <f>industrie!I18</f>
        <v>0</v>
      </c>
      <c r="K13" s="718">
        <f>industrie!J18</f>
        <v>55.644640008551377</v>
      </c>
      <c r="L13" s="718">
        <f>industrie!K18</f>
        <v>0</v>
      </c>
      <c r="M13" s="718">
        <f>industrie!L18</f>
        <v>0</v>
      </c>
      <c r="N13" s="718">
        <f>industrie!M18</f>
        <v>0</v>
      </c>
      <c r="O13" s="718">
        <f>industrie!N18</f>
        <v>3265.7852207812284</v>
      </c>
      <c r="P13" s="718">
        <f>industrie!O18</f>
        <v>0</v>
      </c>
      <c r="Q13" s="719">
        <f>industrie!P18</f>
        <v>0</v>
      </c>
      <c r="R13" s="721">
        <f>SUM(C13:Q13)</f>
        <v>43874.494786073526</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63382.123297116734</v>
      </c>
      <c r="D15" s="723">
        <f t="shared" ref="D15:Q15" ca="1" si="0">SUM(D9:D14)</f>
        <v>0</v>
      </c>
      <c r="E15" s="723">
        <f t="shared" ca="1" si="0"/>
        <v>108646.71558572106</v>
      </c>
      <c r="F15" s="723">
        <f t="shared" si="0"/>
        <v>11846.473100668303</v>
      </c>
      <c r="G15" s="723">
        <f t="shared" ca="1" si="0"/>
        <v>27148.910335439603</v>
      </c>
      <c r="H15" s="723">
        <f t="shared" si="0"/>
        <v>0</v>
      </c>
      <c r="I15" s="723">
        <f t="shared" si="0"/>
        <v>0</v>
      </c>
      <c r="J15" s="723">
        <f t="shared" si="0"/>
        <v>0</v>
      </c>
      <c r="K15" s="723">
        <f t="shared" si="0"/>
        <v>3141.8162780644911</v>
      </c>
      <c r="L15" s="723">
        <f t="shared" si="0"/>
        <v>0</v>
      </c>
      <c r="M15" s="723">
        <f t="shared" ca="1" si="0"/>
        <v>0</v>
      </c>
      <c r="N15" s="723">
        <f t="shared" si="0"/>
        <v>0</v>
      </c>
      <c r="O15" s="723">
        <f t="shared" ca="1" si="0"/>
        <v>32427.523525555669</v>
      </c>
      <c r="P15" s="723">
        <f t="shared" si="0"/>
        <v>522.15333333333331</v>
      </c>
      <c r="Q15" s="724">
        <f t="shared" si="0"/>
        <v>1315.6000000000001</v>
      </c>
      <c r="R15" s="725">
        <f ca="1">SUM(R9:R14)</f>
        <v>248431.31545589917</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1023.349967041766</v>
      </c>
      <c r="I18" s="718">
        <f>transport!H54</f>
        <v>0</v>
      </c>
      <c r="J18" s="718">
        <f>transport!I54</f>
        <v>0</v>
      </c>
      <c r="K18" s="718">
        <f>transport!J54</f>
        <v>0</v>
      </c>
      <c r="L18" s="718">
        <f>transport!K54</f>
        <v>0</v>
      </c>
      <c r="M18" s="718">
        <f>transport!L54</f>
        <v>0</v>
      </c>
      <c r="N18" s="718">
        <f>transport!M54</f>
        <v>31.742026557419425</v>
      </c>
      <c r="O18" s="718">
        <f>transport!N54</f>
        <v>0</v>
      </c>
      <c r="P18" s="718">
        <f>transport!O54</f>
        <v>0</v>
      </c>
      <c r="Q18" s="719">
        <f>transport!P54</f>
        <v>0</v>
      </c>
      <c r="R18" s="721">
        <f>SUM(C18:Q18)</f>
        <v>1055.0919935991856</v>
      </c>
      <c r="S18" s="67"/>
    </row>
    <row r="19" spans="1:19" s="474" customFormat="1" ht="15" thickBot="1">
      <c r="A19" s="870" t="s">
        <v>307</v>
      </c>
      <c r="B19" s="875"/>
      <c r="C19" s="727">
        <f>transport!B14</f>
        <v>57.141990920781701</v>
      </c>
      <c r="D19" s="727">
        <f>transport!C14</f>
        <v>0</v>
      </c>
      <c r="E19" s="727">
        <f>transport!D14</f>
        <v>126.46666669752118</v>
      </c>
      <c r="F19" s="727">
        <f>transport!E14</f>
        <v>566.69133020053891</v>
      </c>
      <c r="G19" s="727">
        <f>transport!F14</f>
        <v>0</v>
      </c>
      <c r="H19" s="727">
        <f>transport!G14</f>
        <v>217526.21423637346</v>
      </c>
      <c r="I19" s="727">
        <f>transport!H14</f>
        <v>34974.717671333383</v>
      </c>
      <c r="J19" s="727">
        <f>transport!I14</f>
        <v>0</v>
      </c>
      <c r="K19" s="727">
        <f>transport!J14</f>
        <v>0</v>
      </c>
      <c r="L19" s="727">
        <f>transport!K14</f>
        <v>0</v>
      </c>
      <c r="M19" s="727">
        <f>transport!L14</f>
        <v>0</v>
      </c>
      <c r="N19" s="727">
        <f>transport!M14</f>
        <v>7900.8151490731289</v>
      </c>
      <c r="O19" s="727">
        <f>transport!N14</f>
        <v>0</v>
      </c>
      <c r="P19" s="727">
        <f>transport!O14</f>
        <v>0</v>
      </c>
      <c r="Q19" s="728">
        <f>transport!P14</f>
        <v>0</v>
      </c>
      <c r="R19" s="729">
        <f>SUM(C19:Q19)</f>
        <v>261152.04704459882</v>
      </c>
      <c r="S19" s="67"/>
    </row>
    <row r="20" spans="1:19" s="474" customFormat="1" ht="15.75" thickBot="1">
      <c r="A20" s="730" t="s">
        <v>230</v>
      </c>
      <c r="B20" s="878"/>
      <c r="C20" s="873">
        <f>SUM(C17:C19)</f>
        <v>57.141990920781701</v>
      </c>
      <c r="D20" s="731">
        <f t="shared" ref="D20:R20" si="1">SUM(D17:D19)</f>
        <v>0</v>
      </c>
      <c r="E20" s="731">
        <f t="shared" si="1"/>
        <v>126.46666669752118</v>
      </c>
      <c r="F20" s="731">
        <f t="shared" si="1"/>
        <v>566.69133020053891</v>
      </c>
      <c r="G20" s="731">
        <f t="shared" si="1"/>
        <v>0</v>
      </c>
      <c r="H20" s="731">
        <f t="shared" si="1"/>
        <v>218549.56420341524</v>
      </c>
      <c r="I20" s="731">
        <f t="shared" si="1"/>
        <v>34974.717671333383</v>
      </c>
      <c r="J20" s="731">
        <f t="shared" si="1"/>
        <v>0</v>
      </c>
      <c r="K20" s="731">
        <f t="shared" si="1"/>
        <v>0</v>
      </c>
      <c r="L20" s="731">
        <f t="shared" si="1"/>
        <v>0</v>
      </c>
      <c r="M20" s="731">
        <f t="shared" si="1"/>
        <v>0</v>
      </c>
      <c r="N20" s="731">
        <f t="shared" si="1"/>
        <v>7932.557175630548</v>
      </c>
      <c r="O20" s="731">
        <f t="shared" si="1"/>
        <v>0</v>
      </c>
      <c r="P20" s="731">
        <f t="shared" si="1"/>
        <v>0</v>
      </c>
      <c r="Q20" s="732">
        <f t="shared" si="1"/>
        <v>0</v>
      </c>
      <c r="R20" s="733">
        <f t="shared" si="1"/>
        <v>262207.13903819799</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4239.9816578</v>
      </c>
      <c r="D22" s="727">
        <f>+landbouw!C8</f>
        <v>15928.071428571429</v>
      </c>
      <c r="E22" s="727">
        <f>+landbouw!D8</f>
        <v>1592.7285875797782</v>
      </c>
      <c r="F22" s="727">
        <f>+landbouw!E8</f>
        <v>109.33284730726351</v>
      </c>
      <c r="G22" s="727">
        <f>+landbouw!F8</f>
        <v>15497.940424541372</v>
      </c>
      <c r="H22" s="727">
        <f>+landbouw!G8</f>
        <v>0</v>
      </c>
      <c r="I22" s="727">
        <f>+landbouw!H8</f>
        <v>0</v>
      </c>
      <c r="J22" s="727">
        <f>+landbouw!I8</f>
        <v>0</v>
      </c>
      <c r="K22" s="727">
        <f>+landbouw!J8</f>
        <v>610.40138397195403</v>
      </c>
      <c r="L22" s="727">
        <f>+landbouw!K8</f>
        <v>0</v>
      </c>
      <c r="M22" s="727">
        <f>+landbouw!L8</f>
        <v>0</v>
      </c>
      <c r="N22" s="727">
        <f>+landbouw!M8</f>
        <v>0</v>
      </c>
      <c r="O22" s="727">
        <f>+landbouw!N8</f>
        <v>0</v>
      </c>
      <c r="P22" s="727">
        <f>+landbouw!O8</f>
        <v>0</v>
      </c>
      <c r="Q22" s="728">
        <f>+landbouw!P8</f>
        <v>0</v>
      </c>
      <c r="R22" s="729">
        <f>SUM(C22:Q22)</f>
        <v>37978.456329771798</v>
      </c>
      <c r="S22" s="67"/>
    </row>
    <row r="23" spans="1:19" s="474" customFormat="1" ht="17.25" thickTop="1" thickBot="1">
      <c r="A23" s="734" t="s">
        <v>116</v>
      </c>
      <c r="B23" s="864"/>
      <c r="C23" s="735">
        <f ca="1">C20+C15+C22</f>
        <v>67679.246945837513</v>
      </c>
      <c r="D23" s="735">
        <f t="shared" ref="D23:Q23" ca="1" si="2">D20+D15+D22</f>
        <v>15928.071428571429</v>
      </c>
      <c r="E23" s="735">
        <f t="shared" ca="1" si="2"/>
        <v>110365.91083999837</v>
      </c>
      <c r="F23" s="735">
        <f t="shared" si="2"/>
        <v>12522.497278176106</v>
      </c>
      <c r="G23" s="735">
        <f t="shared" ca="1" si="2"/>
        <v>42646.850759980975</v>
      </c>
      <c r="H23" s="735">
        <f t="shared" si="2"/>
        <v>218549.56420341524</v>
      </c>
      <c r="I23" s="735">
        <f t="shared" si="2"/>
        <v>34974.717671333383</v>
      </c>
      <c r="J23" s="735">
        <f t="shared" si="2"/>
        <v>0</v>
      </c>
      <c r="K23" s="735">
        <f t="shared" si="2"/>
        <v>3752.2176620364453</v>
      </c>
      <c r="L23" s="735">
        <f t="shared" si="2"/>
        <v>0</v>
      </c>
      <c r="M23" s="735">
        <f t="shared" ca="1" si="2"/>
        <v>0</v>
      </c>
      <c r="N23" s="735">
        <f t="shared" si="2"/>
        <v>7932.557175630548</v>
      </c>
      <c r="O23" s="735">
        <f t="shared" ca="1" si="2"/>
        <v>32427.523525555669</v>
      </c>
      <c r="P23" s="735">
        <f t="shared" si="2"/>
        <v>522.15333333333331</v>
      </c>
      <c r="Q23" s="736">
        <f t="shared" si="2"/>
        <v>1315.6000000000001</v>
      </c>
      <c r="R23" s="737">
        <f ca="1">R20+R15+R22</f>
        <v>548616.91082386894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3279.2165847514425</v>
      </c>
      <c r="D36" s="718">
        <f ca="1">tertiair!C20</f>
        <v>0</v>
      </c>
      <c r="E36" s="718">
        <f ca="1">tertiair!D20</f>
        <v>8964.5627046603204</v>
      </c>
      <c r="F36" s="718">
        <f>tertiair!E20</f>
        <v>81.902840904372127</v>
      </c>
      <c r="G36" s="718">
        <f ca="1">tertiair!F20</f>
        <v>1347.7098979425384</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13673.392028258673</v>
      </c>
    </row>
    <row r="37" spans="1:18">
      <c r="A37" s="885" t="s">
        <v>225</v>
      </c>
      <c r="B37" s="892"/>
      <c r="C37" s="718">
        <f ca="1">huishoudens!B12</f>
        <v>4793.8550697427254</v>
      </c>
      <c r="D37" s="718">
        <f ca="1">huishoudens!C12</f>
        <v>0</v>
      </c>
      <c r="E37" s="718">
        <f>huishoudens!D12</f>
        <v>9230.5632306687367</v>
      </c>
      <c r="F37" s="718">
        <f>huishoudens!E12</f>
        <v>2230.9194989871485</v>
      </c>
      <c r="G37" s="718">
        <f>huishoudens!F12</f>
        <v>4116.0416196047081</v>
      </c>
      <c r="H37" s="718">
        <f>huishoudens!G12</f>
        <v>0</v>
      </c>
      <c r="I37" s="718">
        <f>huishoudens!H12</f>
        <v>0</v>
      </c>
      <c r="J37" s="718">
        <f>huishoudens!I12</f>
        <v>0</v>
      </c>
      <c r="K37" s="718">
        <f>huishoudens!J12</f>
        <v>1092.5047598718027</v>
      </c>
      <c r="L37" s="718">
        <f>huishoudens!K12</f>
        <v>0</v>
      </c>
      <c r="M37" s="718">
        <f>huishoudens!L12</f>
        <v>0</v>
      </c>
      <c r="N37" s="718">
        <f>huishoudens!M12</f>
        <v>0</v>
      </c>
      <c r="O37" s="718">
        <f>huishoudens!N12</f>
        <v>0</v>
      </c>
      <c r="P37" s="718">
        <f>huishoudens!O12</f>
        <v>0</v>
      </c>
      <c r="Q37" s="828">
        <f>huishoudens!P12</f>
        <v>0</v>
      </c>
      <c r="R37" s="917">
        <f ca="1">SUM(C37:Q37)</f>
        <v>21463.88417887512</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2213.3337765105016</v>
      </c>
      <c r="D39" s="718">
        <f ca="1">industrie!C22</f>
        <v>0</v>
      </c>
      <c r="E39" s="718">
        <f>industrie!D22</f>
        <v>3751.510612986599</v>
      </c>
      <c r="F39" s="718">
        <f>industrie!E22</f>
        <v>376.32705396018423</v>
      </c>
      <c r="G39" s="718">
        <f>industrie!F22</f>
        <v>1785.0075420151279</v>
      </c>
      <c r="H39" s="718">
        <f>industrie!G22</f>
        <v>0</v>
      </c>
      <c r="I39" s="718">
        <f>industrie!H22</f>
        <v>0</v>
      </c>
      <c r="J39" s="718">
        <f>industrie!I22</f>
        <v>0</v>
      </c>
      <c r="K39" s="718">
        <f>industrie!J22</f>
        <v>19.698202563027188</v>
      </c>
      <c r="L39" s="718">
        <f>industrie!K22</f>
        <v>0</v>
      </c>
      <c r="M39" s="718">
        <f>industrie!L22</f>
        <v>0</v>
      </c>
      <c r="N39" s="718">
        <f>industrie!M22</f>
        <v>0</v>
      </c>
      <c r="O39" s="718">
        <f>industrie!N22</f>
        <v>0</v>
      </c>
      <c r="P39" s="718">
        <f>industrie!O22</f>
        <v>0</v>
      </c>
      <c r="Q39" s="828">
        <f>industrie!P22</f>
        <v>0</v>
      </c>
      <c r="R39" s="918">
        <f ca="1">SUM(C39:Q39)</f>
        <v>8145.8771880354398</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10286.40543100467</v>
      </c>
      <c r="D41" s="763">
        <f t="shared" ref="D41:R41" ca="1" si="4">SUM(D35:D40)</f>
        <v>0</v>
      </c>
      <c r="E41" s="763">
        <f t="shared" ca="1" si="4"/>
        <v>21946.636548315659</v>
      </c>
      <c r="F41" s="763">
        <f t="shared" si="4"/>
        <v>2689.1493938517051</v>
      </c>
      <c r="G41" s="763">
        <f t="shared" ca="1" si="4"/>
        <v>7248.7590595623742</v>
      </c>
      <c r="H41" s="763">
        <f t="shared" si="4"/>
        <v>0</v>
      </c>
      <c r="I41" s="763">
        <f t="shared" si="4"/>
        <v>0</v>
      </c>
      <c r="J41" s="763">
        <f t="shared" si="4"/>
        <v>0</v>
      </c>
      <c r="K41" s="763">
        <f t="shared" si="4"/>
        <v>1112.2029624348299</v>
      </c>
      <c r="L41" s="763">
        <f t="shared" si="4"/>
        <v>0</v>
      </c>
      <c r="M41" s="763">
        <f t="shared" ca="1" si="4"/>
        <v>0</v>
      </c>
      <c r="N41" s="763">
        <f t="shared" si="4"/>
        <v>0</v>
      </c>
      <c r="O41" s="763">
        <f t="shared" ca="1" si="4"/>
        <v>0</v>
      </c>
      <c r="P41" s="763">
        <f t="shared" si="4"/>
        <v>0</v>
      </c>
      <c r="Q41" s="764">
        <f t="shared" si="4"/>
        <v>0</v>
      </c>
      <c r="R41" s="765">
        <f t="shared" ca="1" si="4"/>
        <v>43283.153395169233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273.23444120015154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273.23444120015154</v>
      </c>
    </row>
    <row r="45" spans="1:18" ht="15" thickBot="1">
      <c r="A45" s="888" t="s">
        <v>307</v>
      </c>
      <c r="B45" s="898"/>
      <c r="C45" s="727">
        <f ca="1">transport!B18</f>
        <v>9.2736824702224361</v>
      </c>
      <c r="D45" s="727">
        <f>transport!C18</f>
        <v>0</v>
      </c>
      <c r="E45" s="727">
        <f>transport!D18</f>
        <v>25.546266672899279</v>
      </c>
      <c r="F45" s="727">
        <f>transport!E18</f>
        <v>128.63893195552234</v>
      </c>
      <c r="G45" s="727">
        <f>transport!F18</f>
        <v>0</v>
      </c>
      <c r="H45" s="727">
        <f>transport!G18</f>
        <v>58079.499201111714</v>
      </c>
      <c r="I45" s="727">
        <f>transport!H18</f>
        <v>8708.7047001620122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66951.662782372368</v>
      </c>
    </row>
    <row r="46" spans="1:18" ht="15.75" thickBot="1">
      <c r="A46" s="886" t="s">
        <v>230</v>
      </c>
      <c r="B46" s="899"/>
      <c r="C46" s="763">
        <f t="shared" ref="C46:R46" ca="1" si="5">SUM(C43:C45)</f>
        <v>9.2736824702224361</v>
      </c>
      <c r="D46" s="763">
        <f t="shared" ca="1" si="5"/>
        <v>0</v>
      </c>
      <c r="E46" s="763">
        <f t="shared" si="5"/>
        <v>25.546266672899279</v>
      </c>
      <c r="F46" s="763">
        <f t="shared" si="5"/>
        <v>128.63893195552234</v>
      </c>
      <c r="G46" s="763">
        <f t="shared" si="5"/>
        <v>0</v>
      </c>
      <c r="H46" s="763">
        <f t="shared" si="5"/>
        <v>58352.733642311869</v>
      </c>
      <c r="I46" s="763">
        <f t="shared" si="5"/>
        <v>8708.7047001620122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67224.897223572523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688.11469359749458</v>
      </c>
      <c r="D48" s="718">
        <f ca="1">+landbouw!C12</f>
        <v>0</v>
      </c>
      <c r="E48" s="718">
        <f>+landbouw!D12</f>
        <v>321.7311746911152</v>
      </c>
      <c r="F48" s="718">
        <f>+landbouw!E12</f>
        <v>24.818556338748817</v>
      </c>
      <c r="G48" s="718">
        <f>+landbouw!F12</f>
        <v>4137.9500933525469</v>
      </c>
      <c r="H48" s="718">
        <f>+landbouw!G12</f>
        <v>0</v>
      </c>
      <c r="I48" s="718">
        <f>+landbouw!H12</f>
        <v>0</v>
      </c>
      <c r="J48" s="718">
        <f>+landbouw!I12</f>
        <v>0</v>
      </c>
      <c r="K48" s="718">
        <f>+landbouw!J12</f>
        <v>216.08208992607172</v>
      </c>
      <c r="L48" s="718">
        <f>+landbouw!K12</f>
        <v>0</v>
      </c>
      <c r="M48" s="718">
        <f>+landbouw!L12</f>
        <v>0</v>
      </c>
      <c r="N48" s="718">
        <f>+landbouw!M12</f>
        <v>0</v>
      </c>
      <c r="O48" s="718">
        <f>+landbouw!N12</f>
        <v>0</v>
      </c>
      <c r="P48" s="718">
        <f>+landbouw!O12</f>
        <v>0</v>
      </c>
      <c r="Q48" s="719">
        <f>+landbouw!P12</f>
        <v>0</v>
      </c>
      <c r="R48" s="761">
        <f ca="1">SUM(C48:Q48)</f>
        <v>5388.6966079059775</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10983.793807072387</v>
      </c>
      <c r="D53" s="773">
        <f t="shared" ref="D53:Q53" ca="1" si="6">D41+D46+D48</f>
        <v>0</v>
      </c>
      <c r="E53" s="773">
        <f t="shared" ca="1" si="6"/>
        <v>22293.913989679673</v>
      </c>
      <c r="F53" s="773">
        <f t="shared" si="6"/>
        <v>2842.6068821459762</v>
      </c>
      <c r="G53" s="773">
        <f t="shared" ca="1" si="6"/>
        <v>11386.709152914922</v>
      </c>
      <c r="H53" s="773">
        <f t="shared" si="6"/>
        <v>58352.733642311869</v>
      </c>
      <c r="I53" s="773">
        <f t="shared" si="6"/>
        <v>8708.7047001620122</v>
      </c>
      <c r="J53" s="773">
        <f t="shared" si="6"/>
        <v>0</v>
      </c>
      <c r="K53" s="773">
        <f t="shared" si="6"/>
        <v>1328.2850523609018</v>
      </c>
      <c r="L53" s="773">
        <f t="shared" si="6"/>
        <v>0</v>
      </c>
      <c r="M53" s="773">
        <f t="shared" ca="1" si="6"/>
        <v>0</v>
      </c>
      <c r="N53" s="773">
        <f t="shared" si="6"/>
        <v>0</v>
      </c>
      <c r="O53" s="773">
        <f t="shared" ca="1" si="6"/>
        <v>0</v>
      </c>
      <c r="P53" s="773">
        <f>P41+P46+P48</f>
        <v>0</v>
      </c>
      <c r="Q53" s="774">
        <f t="shared" si="6"/>
        <v>0</v>
      </c>
      <c r="R53" s="775">
        <f ca="1">R41+R46+R48</f>
        <v>115896.74722664773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0.16229190339340685</v>
      </c>
      <c r="D55" s="836">
        <f t="shared" ca="1" si="7"/>
        <v>0</v>
      </c>
      <c r="E55" s="836">
        <f t="shared" ca="1" si="7"/>
        <v>0.20200000000000004</v>
      </c>
      <c r="F55" s="836">
        <f t="shared" si="7"/>
        <v>0.22700000000000001</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6829.1724794466272</v>
      </c>
      <c r="C66" s="795">
        <f>'lokale energieproductie'!B6</f>
        <v>6829.1724794466272</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11149.65</v>
      </c>
      <c r="C67" s="794">
        <f>B67*IFERROR(SUM(J67:L67)/SUM(D67:M67),0)</f>
        <v>11149.65</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13117.235294117647</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17978.822479446626</v>
      </c>
      <c r="C69" s="803">
        <f>SUM(C64:C68)</f>
        <v>17978.822479446626</v>
      </c>
      <c r="D69" s="804">
        <f t="shared" ref="D69:M69" si="8">SUM(D67:D68)</f>
        <v>0</v>
      </c>
      <c r="E69" s="804">
        <f t="shared" si="8"/>
        <v>0</v>
      </c>
      <c r="F69" s="804">
        <f t="shared" si="8"/>
        <v>0</v>
      </c>
      <c r="G69" s="804">
        <f t="shared" si="8"/>
        <v>0</v>
      </c>
      <c r="H69" s="804">
        <f t="shared" si="8"/>
        <v>0</v>
      </c>
      <c r="I69" s="804">
        <f t="shared" si="8"/>
        <v>0</v>
      </c>
      <c r="J69" s="804">
        <f t="shared" si="8"/>
        <v>0</v>
      </c>
      <c r="K69" s="804">
        <f t="shared" si="8"/>
        <v>13117.235294117647</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15928.071428571429</v>
      </c>
      <c r="C78" s="817">
        <f>B78*IFERROR(SUM(I78:L78)/SUM(D78:M78),0)</f>
        <v>15928.071428571429</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18738.907563025212</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15928.071428571429</v>
      </c>
      <c r="C81" s="803">
        <f>SUM(C78:C80)</f>
        <v>15928.071428571429</v>
      </c>
      <c r="D81" s="803">
        <f t="shared" ref="D81:P81" si="9">SUM(D78:D80)</f>
        <v>0</v>
      </c>
      <c r="E81" s="803">
        <f t="shared" si="9"/>
        <v>0</v>
      </c>
      <c r="F81" s="803">
        <f t="shared" si="9"/>
        <v>0</v>
      </c>
      <c r="G81" s="803">
        <f t="shared" si="9"/>
        <v>0</v>
      </c>
      <c r="H81" s="803">
        <f t="shared" si="9"/>
        <v>0</v>
      </c>
      <c r="I81" s="803">
        <f t="shared" si="9"/>
        <v>0</v>
      </c>
      <c r="J81" s="803">
        <f t="shared" si="9"/>
        <v>0</v>
      </c>
      <c r="K81" s="803">
        <f t="shared" si="9"/>
        <v>18738.907563025212</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29538.473389655723</v>
      </c>
      <c r="C4" s="478">
        <f>huishoudens!C8</f>
        <v>0</v>
      </c>
      <c r="D4" s="478">
        <f>huishoudens!D8</f>
        <v>45695.857577568</v>
      </c>
      <c r="E4" s="478">
        <f>huishoudens!E8</f>
        <v>9827.8392025865578</v>
      </c>
      <c r="F4" s="478">
        <f>huishoudens!F8</f>
        <v>15415.886215747971</v>
      </c>
      <c r="G4" s="478">
        <f>huishoudens!G8</f>
        <v>0</v>
      </c>
      <c r="H4" s="478">
        <f>huishoudens!H8</f>
        <v>0</v>
      </c>
      <c r="I4" s="478">
        <f>huishoudens!I8</f>
        <v>0</v>
      </c>
      <c r="J4" s="478">
        <f>huishoudens!J8</f>
        <v>3086.1716380559396</v>
      </c>
      <c r="K4" s="478">
        <f>huishoudens!K8</f>
        <v>0</v>
      </c>
      <c r="L4" s="478">
        <f>huishoudens!L8</f>
        <v>0</v>
      </c>
      <c r="M4" s="478">
        <f>huishoudens!M8</f>
        <v>0</v>
      </c>
      <c r="N4" s="478">
        <f>huishoudens!N8</f>
        <v>25132.623416822455</v>
      </c>
      <c r="O4" s="478">
        <f>huishoudens!O8</f>
        <v>515.9</v>
      </c>
      <c r="P4" s="479">
        <f>huishoudens!P8</f>
        <v>1277.4666666666667</v>
      </c>
      <c r="Q4" s="480">
        <f>SUM(B4:P4)</f>
        <v>130490.2181071033</v>
      </c>
    </row>
    <row r="5" spans="1:17">
      <c r="A5" s="477" t="s">
        <v>156</v>
      </c>
      <c r="B5" s="478">
        <f ca="1">tertiair!B16</f>
        <v>19087.234637150003</v>
      </c>
      <c r="C5" s="478">
        <f ca="1">tertiair!C16</f>
        <v>0</v>
      </c>
      <c r="D5" s="478">
        <f ca="1">tertiair!D16</f>
        <v>44379.023290397621</v>
      </c>
      <c r="E5" s="478">
        <f>tertiair!E16</f>
        <v>360.80546653908425</v>
      </c>
      <c r="F5" s="478">
        <f ca="1">tertiair!F16</f>
        <v>5047.6026140169979</v>
      </c>
      <c r="G5" s="478">
        <f>tertiair!G16</f>
        <v>0</v>
      </c>
      <c r="H5" s="478">
        <f>tertiair!H16</f>
        <v>0</v>
      </c>
      <c r="I5" s="478">
        <f>tertiair!I16</f>
        <v>0</v>
      </c>
      <c r="J5" s="478">
        <f>tertiair!J16</f>
        <v>0</v>
      </c>
      <c r="K5" s="478">
        <f>tertiair!K16</f>
        <v>0</v>
      </c>
      <c r="L5" s="478">
        <f ca="1">tertiair!L16</f>
        <v>0</v>
      </c>
      <c r="M5" s="478">
        <f>tertiair!M16</f>
        <v>0</v>
      </c>
      <c r="N5" s="478">
        <f ca="1">tertiair!N16</f>
        <v>4029.114887951986</v>
      </c>
      <c r="O5" s="478">
        <f>tertiair!O16</f>
        <v>6.2533333333333339</v>
      </c>
      <c r="P5" s="479">
        <f>tertiair!P16</f>
        <v>38.133333333333333</v>
      </c>
      <c r="Q5" s="477">
        <f t="shared" ref="Q5:Q13" ca="1" si="0">SUM(B5:P5)</f>
        <v>72948.167562722345</v>
      </c>
    </row>
    <row r="6" spans="1:17">
      <c r="A6" s="477" t="s">
        <v>194</v>
      </c>
      <c r="B6" s="478">
        <f>'openbare verlichting'!B8</f>
        <v>1118.4349999999999</v>
      </c>
      <c r="C6" s="478"/>
      <c r="D6" s="478"/>
      <c r="E6" s="478"/>
      <c r="F6" s="478"/>
      <c r="G6" s="478"/>
      <c r="H6" s="478"/>
      <c r="I6" s="478"/>
      <c r="J6" s="478"/>
      <c r="K6" s="478"/>
      <c r="L6" s="478"/>
      <c r="M6" s="478"/>
      <c r="N6" s="478"/>
      <c r="O6" s="478"/>
      <c r="P6" s="479"/>
      <c r="Q6" s="477">
        <f t="shared" si="0"/>
        <v>1118.4349999999999</v>
      </c>
    </row>
    <row r="7" spans="1:17">
      <c r="A7" s="477" t="s">
        <v>112</v>
      </c>
      <c r="B7" s="478">
        <f>landbouw!B8</f>
        <v>4239.9816578</v>
      </c>
      <c r="C7" s="478">
        <f>landbouw!C8</f>
        <v>15928.071428571429</v>
      </c>
      <c r="D7" s="478">
        <f>landbouw!D8</f>
        <v>1592.7285875797782</v>
      </c>
      <c r="E7" s="478">
        <f>landbouw!E8</f>
        <v>109.33284730726351</v>
      </c>
      <c r="F7" s="478">
        <f>landbouw!F8</f>
        <v>15497.940424541372</v>
      </c>
      <c r="G7" s="478">
        <f>landbouw!G8</f>
        <v>0</v>
      </c>
      <c r="H7" s="478">
        <f>landbouw!H8</f>
        <v>0</v>
      </c>
      <c r="I7" s="478">
        <f>landbouw!I8</f>
        <v>0</v>
      </c>
      <c r="J7" s="478">
        <f>landbouw!J8</f>
        <v>610.40138397195403</v>
      </c>
      <c r="K7" s="478">
        <f>landbouw!K8</f>
        <v>0</v>
      </c>
      <c r="L7" s="478">
        <f>landbouw!L8</f>
        <v>0</v>
      </c>
      <c r="M7" s="478">
        <f>landbouw!M8</f>
        <v>0</v>
      </c>
      <c r="N7" s="478">
        <f>landbouw!N8</f>
        <v>0</v>
      </c>
      <c r="O7" s="478">
        <f>landbouw!O8</f>
        <v>0</v>
      </c>
      <c r="P7" s="479">
        <f>landbouw!P8</f>
        <v>0</v>
      </c>
      <c r="Q7" s="477">
        <f t="shared" si="0"/>
        <v>37978.456329771798</v>
      </c>
    </row>
    <row r="8" spans="1:17">
      <c r="A8" s="477" t="s">
        <v>638</v>
      </c>
      <c r="B8" s="478">
        <f>industrie!B18</f>
        <v>13637.980270311002</v>
      </c>
      <c r="C8" s="478">
        <f>industrie!C18</f>
        <v>0</v>
      </c>
      <c r="D8" s="478">
        <f>industrie!D18</f>
        <v>18571.834717755439</v>
      </c>
      <c r="E8" s="478">
        <f>industrie!E18</f>
        <v>1657.8284315426617</v>
      </c>
      <c r="F8" s="478">
        <f>industrie!F18</f>
        <v>6685.4215056746361</v>
      </c>
      <c r="G8" s="478">
        <f>industrie!G18</f>
        <v>0</v>
      </c>
      <c r="H8" s="478">
        <f>industrie!H18</f>
        <v>0</v>
      </c>
      <c r="I8" s="478">
        <f>industrie!I18</f>
        <v>0</v>
      </c>
      <c r="J8" s="478">
        <f>industrie!J18</f>
        <v>55.644640008551377</v>
      </c>
      <c r="K8" s="478">
        <f>industrie!K18</f>
        <v>0</v>
      </c>
      <c r="L8" s="478">
        <f>industrie!L18</f>
        <v>0</v>
      </c>
      <c r="M8" s="478">
        <f>industrie!M18</f>
        <v>0</v>
      </c>
      <c r="N8" s="478">
        <f>industrie!N18</f>
        <v>3265.7852207812284</v>
      </c>
      <c r="O8" s="478">
        <f>industrie!O18</f>
        <v>0</v>
      </c>
      <c r="P8" s="479">
        <f>industrie!P18</f>
        <v>0</v>
      </c>
      <c r="Q8" s="477">
        <f t="shared" si="0"/>
        <v>43874.494786073526</v>
      </c>
    </row>
    <row r="9" spans="1:17" s="483" customFormat="1">
      <c r="A9" s="481" t="s">
        <v>564</v>
      </c>
      <c r="B9" s="482">
        <f>transport!B14</f>
        <v>57.141990920781701</v>
      </c>
      <c r="C9" s="482">
        <f>transport!C14</f>
        <v>0</v>
      </c>
      <c r="D9" s="482">
        <f>transport!D14</f>
        <v>126.46666669752118</v>
      </c>
      <c r="E9" s="482">
        <f>transport!E14</f>
        <v>566.69133020053891</v>
      </c>
      <c r="F9" s="482">
        <f>transport!F14</f>
        <v>0</v>
      </c>
      <c r="G9" s="482">
        <f>transport!G14</f>
        <v>217526.21423637346</v>
      </c>
      <c r="H9" s="482">
        <f>transport!H14</f>
        <v>34974.717671333383</v>
      </c>
      <c r="I9" s="482">
        <f>transport!I14</f>
        <v>0</v>
      </c>
      <c r="J9" s="482">
        <f>transport!J14</f>
        <v>0</v>
      </c>
      <c r="K9" s="482">
        <f>transport!K14</f>
        <v>0</v>
      </c>
      <c r="L9" s="482">
        <f>transport!L14</f>
        <v>0</v>
      </c>
      <c r="M9" s="482">
        <f>transport!M14</f>
        <v>7900.8151490731289</v>
      </c>
      <c r="N9" s="482">
        <f>transport!N14</f>
        <v>0</v>
      </c>
      <c r="O9" s="482">
        <f>transport!O14</f>
        <v>0</v>
      </c>
      <c r="P9" s="482">
        <f>transport!P14</f>
        <v>0</v>
      </c>
      <c r="Q9" s="481">
        <f>SUM(B9:P9)</f>
        <v>261152.04704459882</v>
      </c>
    </row>
    <row r="10" spans="1:17">
      <c r="A10" s="477" t="s">
        <v>554</v>
      </c>
      <c r="B10" s="478">
        <f>transport!B54</f>
        <v>0</v>
      </c>
      <c r="C10" s="478">
        <f>transport!C54</f>
        <v>0</v>
      </c>
      <c r="D10" s="478">
        <f>transport!D54</f>
        <v>0</v>
      </c>
      <c r="E10" s="478">
        <f>transport!E54</f>
        <v>0</v>
      </c>
      <c r="F10" s="478">
        <f>transport!F54</f>
        <v>0</v>
      </c>
      <c r="G10" s="478">
        <f>transport!G54</f>
        <v>1023.349967041766</v>
      </c>
      <c r="H10" s="478">
        <f>transport!H54</f>
        <v>0</v>
      </c>
      <c r="I10" s="478">
        <f>transport!I54</f>
        <v>0</v>
      </c>
      <c r="J10" s="478">
        <f>transport!J54</f>
        <v>0</v>
      </c>
      <c r="K10" s="478">
        <f>transport!K54</f>
        <v>0</v>
      </c>
      <c r="L10" s="478">
        <f>transport!L54</f>
        <v>0</v>
      </c>
      <c r="M10" s="478">
        <f>transport!M54</f>
        <v>31.742026557419425</v>
      </c>
      <c r="N10" s="478">
        <f>transport!N54</f>
        <v>0</v>
      </c>
      <c r="O10" s="478">
        <f>transport!O54</f>
        <v>0</v>
      </c>
      <c r="P10" s="479">
        <f>transport!P54</f>
        <v>0</v>
      </c>
      <c r="Q10" s="477">
        <f t="shared" si="0"/>
        <v>1055.0919935991856</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67679.246945837498</v>
      </c>
      <c r="C14" s="488">
        <f t="shared" ref="C14:Q14" ca="1" si="1">SUM(C4:C13)</f>
        <v>15928.071428571429</v>
      </c>
      <c r="D14" s="488">
        <f t="shared" ca="1" si="1"/>
        <v>110365.91083999837</v>
      </c>
      <c r="E14" s="488">
        <f t="shared" si="1"/>
        <v>12522.497278176108</v>
      </c>
      <c r="F14" s="488">
        <f t="shared" ca="1" si="1"/>
        <v>42646.850759980967</v>
      </c>
      <c r="G14" s="488">
        <f t="shared" si="1"/>
        <v>218549.56420341524</v>
      </c>
      <c r="H14" s="488">
        <f t="shared" si="1"/>
        <v>34974.717671333383</v>
      </c>
      <c r="I14" s="488">
        <f t="shared" si="1"/>
        <v>0</v>
      </c>
      <c r="J14" s="488">
        <f t="shared" si="1"/>
        <v>3752.2176620364453</v>
      </c>
      <c r="K14" s="488">
        <f t="shared" si="1"/>
        <v>0</v>
      </c>
      <c r="L14" s="488">
        <f t="shared" ca="1" si="1"/>
        <v>0</v>
      </c>
      <c r="M14" s="488">
        <f t="shared" si="1"/>
        <v>7932.557175630548</v>
      </c>
      <c r="N14" s="488">
        <f t="shared" ca="1" si="1"/>
        <v>32427.523525555669</v>
      </c>
      <c r="O14" s="488">
        <f t="shared" si="1"/>
        <v>522.15333333333331</v>
      </c>
      <c r="P14" s="489">
        <f t="shared" si="1"/>
        <v>1315.6000000000001</v>
      </c>
      <c r="Q14" s="489">
        <f t="shared" ca="1" si="1"/>
        <v>548616.91082386894</v>
      </c>
    </row>
    <row r="16" spans="1:17">
      <c r="A16" s="491" t="s">
        <v>559</v>
      </c>
      <c r="B16" s="841">
        <f ca="1">huishoudens!B10</f>
        <v>0.16229190339340685</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4793.8550697427254</v>
      </c>
      <c r="C21" s="478">
        <f t="shared" ref="C21:C30" ca="1" si="3">C4*$C$16</f>
        <v>0</v>
      </c>
      <c r="D21" s="478">
        <f t="shared" ref="D21:D30" si="4">D4*$D$16</f>
        <v>9230.5632306687367</v>
      </c>
      <c r="E21" s="478">
        <f t="shared" ref="E21:E30" si="5">E4*$E$16</f>
        <v>2230.9194989871485</v>
      </c>
      <c r="F21" s="478">
        <f t="shared" ref="F21:F30" si="6">F4*$F$16</f>
        <v>4116.0416196047081</v>
      </c>
      <c r="G21" s="478">
        <f t="shared" ref="G21:G30" si="7">G4*$G$16</f>
        <v>0</v>
      </c>
      <c r="H21" s="478">
        <f t="shared" ref="H21:H30" si="8">H4*$H$16</f>
        <v>0</v>
      </c>
      <c r="I21" s="478">
        <f t="shared" ref="I21:I30" si="9">I4*$I$16</f>
        <v>0</v>
      </c>
      <c r="J21" s="478">
        <f t="shared" ref="J21:J30" si="10">J4*$J$16</f>
        <v>1092.5047598718027</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21463.88417887512</v>
      </c>
    </row>
    <row r="22" spans="1:17">
      <c r="A22" s="477" t="s">
        <v>156</v>
      </c>
      <c r="B22" s="478">
        <f t="shared" ca="1" si="2"/>
        <v>3097.7036397796373</v>
      </c>
      <c r="C22" s="478">
        <f t="shared" ca="1" si="3"/>
        <v>0</v>
      </c>
      <c r="D22" s="478">
        <f t="shared" ca="1" si="4"/>
        <v>8964.5627046603204</v>
      </c>
      <c r="E22" s="478">
        <f t="shared" si="5"/>
        <v>81.902840904372127</v>
      </c>
      <c r="F22" s="478">
        <f t="shared" ca="1" si="6"/>
        <v>1347.7098979425384</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13491.879083286869</v>
      </c>
    </row>
    <row r="23" spans="1:17">
      <c r="A23" s="477" t="s">
        <v>194</v>
      </c>
      <c r="B23" s="478">
        <f t="shared" ca="1" si="2"/>
        <v>181.51294497180498</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181.51294497180498</v>
      </c>
    </row>
    <row r="24" spans="1:17">
      <c r="A24" s="477" t="s">
        <v>112</v>
      </c>
      <c r="B24" s="478">
        <f t="shared" ca="1" si="2"/>
        <v>688.11469359749458</v>
      </c>
      <c r="C24" s="478">
        <f t="shared" ca="1" si="3"/>
        <v>0</v>
      </c>
      <c r="D24" s="478">
        <f t="shared" si="4"/>
        <v>321.7311746911152</v>
      </c>
      <c r="E24" s="478">
        <f t="shared" si="5"/>
        <v>24.818556338748817</v>
      </c>
      <c r="F24" s="478">
        <f t="shared" si="6"/>
        <v>4137.9500933525469</v>
      </c>
      <c r="G24" s="478">
        <f t="shared" si="7"/>
        <v>0</v>
      </c>
      <c r="H24" s="478">
        <f t="shared" si="8"/>
        <v>0</v>
      </c>
      <c r="I24" s="478">
        <f t="shared" si="9"/>
        <v>0</v>
      </c>
      <c r="J24" s="478">
        <f t="shared" si="10"/>
        <v>216.08208992607172</v>
      </c>
      <c r="K24" s="478">
        <f t="shared" si="11"/>
        <v>0</v>
      </c>
      <c r="L24" s="478">
        <f t="shared" si="12"/>
        <v>0</v>
      </c>
      <c r="M24" s="478">
        <f t="shared" si="13"/>
        <v>0</v>
      </c>
      <c r="N24" s="478">
        <f t="shared" si="14"/>
        <v>0</v>
      </c>
      <c r="O24" s="478">
        <f t="shared" si="15"/>
        <v>0</v>
      </c>
      <c r="P24" s="479">
        <f t="shared" si="16"/>
        <v>0</v>
      </c>
      <c r="Q24" s="477">
        <f t="shared" ca="1" si="17"/>
        <v>5388.6966079059775</v>
      </c>
    </row>
    <row r="25" spans="1:17">
      <c r="A25" s="477" t="s">
        <v>638</v>
      </c>
      <c r="B25" s="478">
        <f t="shared" ca="1" si="2"/>
        <v>2213.3337765105016</v>
      </c>
      <c r="C25" s="478">
        <f t="shared" ca="1" si="3"/>
        <v>0</v>
      </c>
      <c r="D25" s="478">
        <f t="shared" si="4"/>
        <v>3751.510612986599</v>
      </c>
      <c r="E25" s="478">
        <f t="shared" si="5"/>
        <v>376.32705396018423</v>
      </c>
      <c r="F25" s="478">
        <f t="shared" si="6"/>
        <v>1785.0075420151279</v>
      </c>
      <c r="G25" s="478">
        <f t="shared" si="7"/>
        <v>0</v>
      </c>
      <c r="H25" s="478">
        <f t="shared" si="8"/>
        <v>0</v>
      </c>
      <c r="I25" s="478">
        <f t="shared" si="9"/>
        <v>0</v>
      </c>
      <c r="J25" s="478">
        <f t="shared" si="10"/>
        <v>19.698202563027188</v>
      </c>
      <c r="K25" s="478">
        <f t="shared" si="11"/>
        <v>0</v>
      </c>
      <c r="L25" s="478">
        <f t="shared" si="12"/>
        <v>0</v>
      </c>
      <c r="M25" s="478">
        <f t="shared" si="13"/>
        <v>0</v>
      </c>
      <c r="N25" s="478">
        <f t="shared" si="14"/>
        <v>0</v>
      </c>
      <c r="O25" s="478">
        <f t="shared" si="15"/>
        <v>0</v>
      </c>
      <c r="P25" s="479">
        <f t="shared" si="16"/>
        <v>0</v>
      </c>
      <c r="Q25" s="477">
        <f t="shared" ca="1" si="17"/>
        <v>8145.8771880354398</v>
      </c>
    </row>
    <row r="26" spans="1:17" s="483" customFormat="1">
      <c r="A26" s="481" t="s">
        <v>564</v>
      </c>
      <c r="B26" s="835">
        <f t="shared" ca="1" si="2"/>
        <v>9.2736824702224361</v>
      </c>
      <c r="C26" s="482">
        <f t="shared" ca="1" si="3"/>
        <v>0</v>
      </c>
      <c r="D26" s="482">
        <f t="shared" si="4"/>
        <v>25.546266672899279</v>
      </c>
      <c r="E26" s="482">
        <f t="shared" si="5"/>
        <v>128.63893195552234</v>
      </c>
      <c r="F26" s="482">
        <f t="shared" si="6"/>
        <v>0</v>
      </c>
      <c r="G26" s="482">
        <f t="shared" si="7"/>
        <v>58079.499201111714</v>
      </c>
      <c r="H26" s="482">
        <f t="shared" si="8"/>
        <v>8708.7047001620122</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66951.662782372368</v>
      </c>
    </row>
    <row r="27" spans="1:17">
      <c r="A27" s="477" t="s">
        <v>554</v>
      </c>
      <c r="B27" s="478">
        <f t="shared" ca="1" si="2"/>
        <v>0</v>
      </c>
      <c r="C27" s="478">
        <f t="shared" ca="1" si="3"/>
        <v>0</v>
      </c>
      <c r="D27" s="478">
        <f t="shared" si="4"/>
        <v>0</v>
      </c>
      <c r="E27" s="478">
        <f t="shared" si="5"/>
        <v>0</v>
      </c>
      <c r="F27" s="478">
        <f t="shared" si="6"/>
        <v>0</v>
      </c>
      <c r="G27" s="478">
        <f t="shared" si="7"/>
        <v>273.23444120015154</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273.23444120015154</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10983.793807072387</v>
      </c>
      <c r="C31" s="488">
        <f t="shared" ca="1" si="18"/>
        <v>0</v>
      </c>
      <c r="D31" s="488">
        <f t="shared" ca="1" si="18"/>
        <v>22293.913989679673</v>
      </c>
      <c r="E31" s="488">
        <f t="shared" si="18"/>
        <v>2842.6068821459762</v>
      </c>
      <c r="F31" s="488">
        <f t="shared" ca="1" si="18"/>
        <v>11386.70915291492</v>
      </c>
      <c r="G31" s="488">
        <f t="shared" si="18"/>
        <v>58352.733642311869</v>
      </c>
      <c r="H31" s="488">
        <f t="shared" si="18"/>
        <v>8708.7047001620122</v>
      </c>
      <c r="I31" s="488">
        <f t="shared" si="18"/>
        <v>0</v>
      </c>
      <c r="J31" s="488">
        <f t="shared" si="18"/>
        <v>1328.2850523609018</v>
      </c>
      <c r="K31" s="488">
        <f t="shared" si="18"/>
        <v>0</v>
      </c>
      <c r="L31" s="488">
        <f t="shared" ca="1" si="18"/>
        <v>0</v>
      </c>
      <c r="M31" s="488">
        <f t="shared" si="18"/>
        <v>0</v>
      </c>
      <c r="N31" s="488">
        <f t="shared" ca="1" si="18"/>
        <v>0</v>
      </c>
      <c r="O31" s="488">
        <f t="shared" si="18"/>
        <v>0</v>
      </c>
      <c r="P31" s="489">
        <f t="shared" si="18"/>
        <v>0</v>
      </c>
      <c r="Q31" s="489">
        <f t="shared" ca="1" si="18"/>
        <v>115896.74722664774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0.16229190339340685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2</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38.133333333333333</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0.16229190339340685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0.16229190339340685</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2018-06-27T09:42:21Z</dcterms:modified>
</cp:coreProperties>
</file>