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D8" i="17"/>
  <c r="L6"/>
  <c r="L5" s="1"/>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C18" i="15" l="1"/>
  <c r="C20" s="1"/>
  <c r="D36" i="14" s="1"/>
  <c r="C10" i="13"/>
  <c r="C16" i="48" s="1"/>
  <c r="C30" s="1"/>
  <c r="C10" i="17"/>
  <c r="C12" s="1"/>
  <c r="D48" i="14" s="1"/>
  <c r="C56" i="22"/>
  <c r="C58" s="1"/>
  <c r="D44" i="14" s="1"/>
  <c r="D46" s="1"/>
  <c r="C17" i="49"/>
  <c r="C17" i="19"/>
  <c r="C19" s="1"/>
  <c r="D35" i="14" s="1"/>
  <c r="C20" i="16"/>
  <c r="C22" s="1"/>
  <c r="D39" i="14" s="1"/>
  <c r="C16" i="22"/>
  <c r="C29" i="20"/>
  <c r="J8" i="48"/>
  <c r="J25" s="1"/>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C23" i="48"/>
  <c r="C22"/>
  <c r="C25"/>
  <c r="C29"/>
  <c r="C21"/>
  <c r="C26"/>
  <c r="F25"/>
  <c r="F31" s="1"/>
  <c r="F14"/>
  <c r="D41" i="14" l="1"/>
  <c r="C24" i="48"/>
  <c r="R13" i="14"/>
  <c r="R15" s="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<sst xmlns="http://schemas.openxmlformats.org/spreadsheetml/2006/main" count="1933" uniqueCount="825">
  <si>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</si>
  <si>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</si>
  <si>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</si>
  <si>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</si>
  <si>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</si>
  <si>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</si>
  <si>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</si>
  <si>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</si>
  <si>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</si>
  <si>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</si>
  <si>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</si>
  <si>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</si>
  <si>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</si>
  <si>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</si>
  <si>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</si>
  <si>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</si>
  <si>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</si>
  <si>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</si>
  <si>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</si>
  <si>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</si>
  <si>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</si>
  <si>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</si>
  <si>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</si>
  <si>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</si>
  <si>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</si>
  <si>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</si>
  <si>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</si>
  <si>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</si>
  <si>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</si>
  <si>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</si>
  <si>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</si>
  <si>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</si>
  <si>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</si>
  <si>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</si>
  <si>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</si>
  <si>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</si>
  <si>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</si>
  <si>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</si>
  <si>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</si>
  <si>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</si>
  <si>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</si>
  <si>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</si>
  <si>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</si>
  <si>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</si>
  <si>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</si>
  <si>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</si>
  <si>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</si>
  <si>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</si>
  <si>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</si>
  <si>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</si>
  <si>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</si>
  <si>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</si>
  <si>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</si>
  <si>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</si>
  <si>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</si>
  <si>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</si>
  <si>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</si>
  <si>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</si>
  <si>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</si>
  <si>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</si>
  <si>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</si>
  <si>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</si>
  <si>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</si>
  <si>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</si>
  <si>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</si>
  <si>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</si>
  <si>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</si>
  <si>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</si>
  <si>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</si>
  <si>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</si>
  <si>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</si>
  <si>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</si>
  <si>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</si>
  <si>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</si>
  <si>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</si>
  <si>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</si>
  <si>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</si>
  <si>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</si>
  <si>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</si>
  <si>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</si>
  <si>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</si>
  <si>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</si>
  <si>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</si>
  <si>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</si>
  <si>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</si>
  <si>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</si>
  <si>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</si>
  <si>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</si>
  <si>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</si>
  <si>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</si>
  <si>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</si>
  <si>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</si>
  <si>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</si>
  <si>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</si>
  <si>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</si>
  <si>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</si>
  <si>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</si>
  <si>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</si>
  <si>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</si>
  <si>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</si>
  <si>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</si>
  <si>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</si>
  <si>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</si>
  <si>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</si>
  <si>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</si>
  <si>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</si>
  <si>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</si>
  <si>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</si>
  <si>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</si>
  <si>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</si>
  <si>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</si>
  <si>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</si>
  <si>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</si>
  <si>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</si>
  <si>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</si>
  <si>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</si>
  <si>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</si>
  <si>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</si>
  <si>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</si>
  <si>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</si>
  <si>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</si>
  <si>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</si>
  <si>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</si>
  <si>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</si>
  <si>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</si>
  <si>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</si>
  <si>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</si>
  <si>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</si>
  <si>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</si>
  <si>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</si>
  <si>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</si>
  <si>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</si>
  <si>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</si>
  <si>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</si>
  <si>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</si>
  <si>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</si>
  <si>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</si>
  <si>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</si>
  <si>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</si>
  <si>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</si>
  <si>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</si>
  <si>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</si>
  <si>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</si>
  <si>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</si>
  <si>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</si>
  <si>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</si>
  <si>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</si>
  <si>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</si>
  <si>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</si>
  <si>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</si>
  <si>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</si>
  <si>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</si>
  <si>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</si>
  <si>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</si>
  <si>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</si>
  <si>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</si>
  <si>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</si>
  <si>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</si>
  <si>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</si>
  <si>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</si>
  <si>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</si>
  <si>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</si>
  <si>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</si>
  <si>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</si>
  <si>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</si>
  <si>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</si>
  <si>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</si>
  <si>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</si>
  <si>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</si>
  <si>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</si>
  <si>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</si>
  <si>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</si>
  <si>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</si>
  <si>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</si>
  <si>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</si>
  <si>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</si>
  <si>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</si>
  <si>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</si>
  <si>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</si>
  <si>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</si>
  <si>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</si>
  <si>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</si>
  <si>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</si>
  <si>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</si>
  <si>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</si>
  <si>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</si>
  <si>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</si>
  <si>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</si>
  <si>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</si>
  <si>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</si>
  <si>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</si>
  <si>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</si>
  <si>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</si>
  <si>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</si>
  <si>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</si>
  <si>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</si>
  <si>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</si>
  <si>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</si>
  <si>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</si>
  <si>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</si>
  <si>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</si>
  <si>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</si>
  <si>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</si>
  <si>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</si>
  <si>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</si>
  <si>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</si>
  <si>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</si>
  <si>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</si>
  <si>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</si>
  <si>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</si>
  <si>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</si>
  <si>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</si>
  <si>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</si>
  <si>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</si>
  <si>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</si>
  <si>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</si>
  <si>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</si>
  <si>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</si>
  <si>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</si>
  <si>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</si>
  <si>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</si>
  <si>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</si>
  <si>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</si>
  <si>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</si>
  <si>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</si>
  <si>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</si>
  <si>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</si>
  <si>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</si>
  <si>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</si>
  <si>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</si>
  <si>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</si>
  <si>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</si>
  <si>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</si>
  <si>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</si>
  <si>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</si>
  <si>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</si>
  <si>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</si>
  <si>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</si>
  <si>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</si>
  <si>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</si>
  <si>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</si>
  <si>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</si>
  <si>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</si>
  <si>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</si>
  <si>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</si>
  <si>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</si>
  <si>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</si>
  <si>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</si>
  <si>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</si>
  <si>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</si>
  <si>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</si>
  <si>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</si>
  <si>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</si>
  <si>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</si>
  <si>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</si>
  <si>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</si>
  <si>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</si>
  <si>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</si>
  <si>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</si>
  <si>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</si>
  <si>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</si>
  <si>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</si>
  <si>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</si>
  <si>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</si>
  <si>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</si>
  <si>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</si>
  <si>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</si>
  <si>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</si>
  <si>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</si>
  <si>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</si>
  <si>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</si>
  <si>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</si>
  <si>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</si>
  <si>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</si>
  <si>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</si>
  <si>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</si>
  <si>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</si>
  <si>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</si>
  <si>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</si>
  <si>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</si>
  <si>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</si>
  <si>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</si>
  <si>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</si>
  <si>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</si>
  <si>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</si>
  <si>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</si>
  <si>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</si>
  <si>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</si>
  <si>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</si>
  <si>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</si>
  <si>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</si>
  <si>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</si>
  <si>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</si>
  <si>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</si>
  <si>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</si>
  <si>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</si>
  <si>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</si>
  <si>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</si>
  <si>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</si>
  <si>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</si>
  <si>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</si>
  <si>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</si>
  <si>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</si>
  <si>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</si>
  <si>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</si>
  <si>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</si>
  <si>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</si>
  <si>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</si>
  <si>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</si>
  <si>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</si>
  <si>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</si>
  <si>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</si>
  <si>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</si>
  <si>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</si>
  <si>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</si>
  <si>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</si>
  <si>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</si>
  <si>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</si>
  <si>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</si>
  <si>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</si>
  <si>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</si>
  <si>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</si>
  <si>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</si>
  <si>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</si>
  <si>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</si>
  <si>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</si>
  <si>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</si>
  <si>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</si>
  <si>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</si>
  <si>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</si>
  <si>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</si>
  <si>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</si>
  <si>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</si>
  <si>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</si>
  <si>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</si>
  <si>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</si>
  <si>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</si>
  <si>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</si>
  <si>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</si>
  <si>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</si>
  <si>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</si>
  <si>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</si>
  <si>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</si>
  <si>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</si>
  <si>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</si>
  <si>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</si>
  <si>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</si>
  <si>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</si>
  <si>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</si>
  <si>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</si>
  <si>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</si>
  <si>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</si>
  <si>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</si>
  <si>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</si>
  <si>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</si>
  <si>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</si>
  <si>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</si>
  <si>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</si>
  <si>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</si>
  <si>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</si>
  <si>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</si>
  <si>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</si>
  <si>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</si>
  <si>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</si>
  <si>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</si>
  <si>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</si>
  <si>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</si>
  <si>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</si>
  <si>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</si>
  <si>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</si>
  <si>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</si>
  <si>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</si>
  <si>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</si>
  <si>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</si>
  <si>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</si>
  <si>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</si>
  <si>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</si>
  <si>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</si>
  <si>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</si>
  <si>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</si>
  <si>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</si>
  <si>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</si>
  <si>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</si>
  <si>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</si>
  <si>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</si>
  <si>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</si>
  <si>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</si>
  <si>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</si>
  <si>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</si>
  <si>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</si>
  <si>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</si>
  <si>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</si>
  <si>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</si>
  <si>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</si>
  <si>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</si>
  <si>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</si>
  <si>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</si>
  <si>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</si>
  <si>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</si>
  <si>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</si>
  <si>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</si>
  <si>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</si>
  <si>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</si>
  <si>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</si>
  <si>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</si>
  <si>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</si>
  <si>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</si>
  <si>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</si>
  <si>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</si>
  <si>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</si>
  <si>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</si>
  <si>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</si>
  <si>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</si>
  <si>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</si>
  <si>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</si>
  <si>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</si>
  <si>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</si>
  <si>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</si>
  <si>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</si>
  <si>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</si>
  <si>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</si>
  <si>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</si>
  <si>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</si>
  <si>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</si>
  <si>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</si>
  <si>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</si>
  <si>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</si>
  <si>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</si>
  <si>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</si>
  <si>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</si>
  <si>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</si>
  <si>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</si>
  <si>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</si>
  <si>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</si>
  <si>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</si>
  <si>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</si>
  <si>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</si>
  <si>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</si>
  <si>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</si>
  <si>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</si>
  <si>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</si>
  <si>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</si>
  <si>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</si>
  <si>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</si>
  <si>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</si>
  <si>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</si>
  <si>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</si>
  <si>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</si>
  <si>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</si>
  <si>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</si>
  <si>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</si>
  <si>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</si>
  <si>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</si>
  <si>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</si>
  <si>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</si>
  <si>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</si>
  <si>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</si>
  <si>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</si>
  <si>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</si>
  <si>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</si>
  <si>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</si>
  <si>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</si>
  <si>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</si>
  <si>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</si>
  <si>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</si>
  <si>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</si>
  <si>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</si>
  <si>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</si>
  <si>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</si>
  <si>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</si>
  <si>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</si>
  <si>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</si>
  <si>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</si>
  <si>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</si>
  <si>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</si>
  <si>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</si>
  <si>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</si>
  <si>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</si>
  <si>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</si>
  <si>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</si>
  <si>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</si>
  <si>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</si>
  <si>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</si>
  <si>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</si>
  <si>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</si>
  <si>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</si>
  <si>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</si>
  <si>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</si>
  <si>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</si>
  <si>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</si>
  <si>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</si>
  <si>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</si>
  <si>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</si>
  <si>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</si>
  <si>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</si>
  <si>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</si>
  <si>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</si>
  <si>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</si>
  <si>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</si>
  <si>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</si>
  <si>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</si>
  <si>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</si>
  <si>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</si>
  <si>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</si>
  <si>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</si>
  <si>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</si>
  <si>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</si>
  <si>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</si>
  <si>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</si>
  <si>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</si>
  <si>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</si>
  <si>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</si>
  <si>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</si>
  <si>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</si>
  <si>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</si>
  <si>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</si>
  <si>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</si>
  <si>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</si>
  <si>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</si>
  <si>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</si>
  <si>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</si>
  <si>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</si>
  <si>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</si>
  <si>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</si>
  <si>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</si>
  <si>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</si>
  <si>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</si>
  <si>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</si>
  <si>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</si>
  <si>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</si>
  <si>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</si>
  <si>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</si>
  <si>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</si>
  <si>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</si>
  <si>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</si>
  <si>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</si>
  <si>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</si>
  <si>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</si>
  <si>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</si>
  <si>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</si>
  <si>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</si>
  <si>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</si>
  <si>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</si>
  <si>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</si>
  <si>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</si>
  <si>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</si>
  <si>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</si>
  <si>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</si>
  <si>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</si>
  <si>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</si>
  <si>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</si>
  <si>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</si>
  <si>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</si>
  <si>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</si>
  <si>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</si>
  <si>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</si>
  <si>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</si>
  <si>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</si>
  <si>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</si>
  <si>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</si>
  <si>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</si>
  <si>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</si>
  <si>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</si>
  <si>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</si>
  <si>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</si>
  <si>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</si>
  <si>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</si>
  <si>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</si>
  <si>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</si>
  <si>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</si>
  <si>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</si>
  <si>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</si>
  <si>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</si>
  <si>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</si>
  <si>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</si>
  <si>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</si>
  <si>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</si>
  <si>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</si>
  <si>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</si>
  <si>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</si>
  <si>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</si>
  <si>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</si>
  <si>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</si>
  <si>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</si>
  <si>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</si>
  <si>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</si>
  <si>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</si>
  <si>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</si>
  <si>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</si>
  <si>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</si>
  <si>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</si>
  <si>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</si>
  <si>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</si>
  <si>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</si>
  <si>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</si>
  <si>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</si>
  <si>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</si>
  <si>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</si>
  <si>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</si>
  <si>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</si>
  <si>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</si>
  <si>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</si>
  <si>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</si>
  <si>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</si>
  <si>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</si>
  <si>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</si>
  <si>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</si>
  <si>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</si>
  <si>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</si>
  <si>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</si>
  <si>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</si>
  <si>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</si>
  <si>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</si>
  <si>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</si>
  <si>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</si>
  <si>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</si>
  <si>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</si>
  <si>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</si>
  <si>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</si>
  <si>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</si>
  <si>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</si>
  <si>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</si>
  <si>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</si>
  <si>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</si>
  <si>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</si>
  <si>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</si>
  <si>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</si>
  <si>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</si>
  <si>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</si>
  <si>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</si>
  <si>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</si>
  <si>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</si>
  <si>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</si>
  <si>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</si>
  <si>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</si>
  <si>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</si>
  <si>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</si>
  <si>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</si>
  <si>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</si>
  <si>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</si>
  <si>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</si>
  <si>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</si>
  <si>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</si>
  <si>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</si>
  <si>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</si>
  <si>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</si>
  <si>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</si>
  <si>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</si>
  <si>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</si>
  <si>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</si>
  <si>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</si>
  <si>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</si>
  <si>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</si>
  <si>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</si>
  <si>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</si>
  <si>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</si>
  <si>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</si>
  <si>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</si>
  <si>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</si>
  <si>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</si>
  <si>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</si>
  <si>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</si>
  <si>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</si>
  <si>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</si>
  <si>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</si>
  <si>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</si>
  <si>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</si>
  <si>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</si>
  <si>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</si>
  <si>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</si>
  <si>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</si>
  <si>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</si>
  <si>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</si>
  <si>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</si>
  <si>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</si>
  <si>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</si>
  <si>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</si>
  <si>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</si>
  <si>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</si>
  <si>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</si>
  <si>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</si>
  <si>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</si>
  <si>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</si>
  <si>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</si>
  <si>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</si>
  <si>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</si>
  <si>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</si>
  <si>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</si>
  <si>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</si>
  <si>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</si>
  <si>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</si>
  <si>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</si>
  <si>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</si>
  <si>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</si>
  <si>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</si>
  <si>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</si>
  <si>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</si>
  <si>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</si>
  <si>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</si>
  <si>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</si>
  <si>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</si>
  <si>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</si>
  <si>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</si>
  <si>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</si>
  <si>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</si>
  <si>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</si>
  <si>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</si>
  <si>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</si>
  <si>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</si>
  <si>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</si>
  <si>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</si>
  <si>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</si>
  <si>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</si>
  <si>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</si>
  <si>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</si>
  <si>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</si>
  <si>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</si>
  <si>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</si>
  <si>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</si>
  <si>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</si>
  <si>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</si>
  <si>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</si>
  <si>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</si>
  <si>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</si>
  <si>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</si>
  <si>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</si>
  <si>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</si>
  <si>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</si>
  <si>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</si>
  <si>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</si>
  <si>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</si>
  <si>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</si>
  <si>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</si>
  <si>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</si>
  <si>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</si>
  <si>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</si>
  <si>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</si>
  <si>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</si>
  <si>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</si>
  <si>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</si>
  <si>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</si>
  <si>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</si>
  <si>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</si>
  <si>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</si>
  <si>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</si>
  <si>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</si>
  <si>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</si>
  <si>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</si>
  <si>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</si>
  <si>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</si>
  <si>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</si>
  <si>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</si>
  <si>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</si>
  <si>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</si>
  <si>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</si>
  <si>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</si>
  <si>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</si>
  <si>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</si>
  <si>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</si>
  <si>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</si>
  <si>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</si>
  <si>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</si>
  <si>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</si>
  <si>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</si>
  <si>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</si>
  <si>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</si>
  <si>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</si>
  <si>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</si>
  <si>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</si>
  <si>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</si>
  <si>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</si>
  <si>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</si>
  <si>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</si>
  <si>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</si>
  <si>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</si>
  <si>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</si>
  <si>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</si>
  <si>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</si>
  <si>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</si>
  <si>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</si>
  <si>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</si>
  <si>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</si>
  <si>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</si>
  <si>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</si>
  <si>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</si>
  <si>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</si>
  <si>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</si>
  <si>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</si>
  <si>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</si>
  <si>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</si>
  <si>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</si>
  <si>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</si>
  <si>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</si>
  <si>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</si>
  <si>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</si>
  <si>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</si>
  <si>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</si>
  <si>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</si>
  <si>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</si>
  <si>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</si>
  <si>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</si>
  <si>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</si>
  <si>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</si>
  <si>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</si>
  <si>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</si>
  <si>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</si>
  <si>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</si>
  <si>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</si>
  <si>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</si>
  <si>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</si>
  <si>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24055</t>
  </si>
  <si>
    <t>KORTENBERG</t>
  </si>
  <si>
    <t>Paarden&amp;pony's 200 - 600 kg</t>
  </si>
  <si>
    <t>Paarden&amp;pony's &lt; 200 kg</t>
  </si>
  <si>
    <t>referentietaak LNE (2017); Jaarverslag De Lijn (2015)</t>
  </si>
  <si>
    <t>op basis van VEA (maart 2018) en Inventaris Hernieuwbare Energiebronnen (juni 2018)</t>
  </si>
  <si>
    <t>VEA (januari 2017)</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</si>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</sst>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149005.65642565576</c:v>
                </c:pt>
                <c:pt idx="1">
                  <c:v>76675.566008609778</c:v>
                </c:pt>
                <c:pt idx="2">
                  <c:v>1348.729</c:v>
                </c:pt>
                <c:pt idx="3">
                  <c:v>3906.1352647646727</c:v>
                </c:pt>
                <c:pt idx="4">
                  <c:v>5430.1098781173114</c:v>
                </c:pt>
                <c:pt idx="5">
                  <c:v>237689.27989535514</c:v>
                </c:pt>
                <c:pt idx="6">
                  <c:v>4229.5233720432807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149005.65642565576</c:v>
                </c:pt>
                <c:pt idx="1">
                  <c:v>76675.566008609778</c:v>
                </c:pt>
                <c:pt idx="2">
                  <c:v>1348.729</c:v>
                </c:pt>
                <c:pt idx="3">
                  <c:v>3906.1352647646727</c:v>
                </c:pt>
                <c:pt idx="4">
                  <c:v>5430.1098781173114</c:v>
                </c:pt>
                <c:pt idx="5">
                  <c:v>237689.27989535514</c:v>
                </c:pt>
                <c:pt idx="6">
                  <c:v>4229.5233720432807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29061.726495475174</c:v>
                </c:pt>
                <c:pt idx="1">
                  <c:v>15850.023590394827</c:v>
                </c:pt>
                <c:pt idx="2">
                  <c:v>279.86325696369869</c:v>
                </c:pt>
                <c:pt idx="3">
                  <c:v>873.92247566560457</c:v>
                </c:pt>
                <c:pt idx="4">
                  <c:v>1065.1970895697436</c:v>
                </c:pt>
                <c:pt idx="5">
                  <c:v>60789.222967655354</c:v>
                </c:pt>
                <c:pt idx="6">
                  <c:v>1095.3087144193059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30240"/>
      </c:barChart>
      <c:catAx>
        <c:axId val="183401472"/>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29061.726495475174</c:v>
                </c:pt>
                <c:pt idx="1">
                  <c:v>15850.023590394827</c:v>
                </c:pt>
                <c:pt idx="2">
                  <c:v>279.86325696369869</c:v>
                </c:pt>
                <c:pt idx="3">
                  <c:v>873.92247566560457</c:v>
                </c:pt>
                <c:pt idx="4">
                  <c:v>1065.1970895697436</c:v>
                </c:pt>
                <c:pt idx="5">
                  <c:v>60789.222967655354</c:v>
                </c:pt>
                <c:pt idx="6">
                  <c:v>1095.3087144193059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24055</v>
      </c>
      <c r="B6" s="415"/>
      <c r="C6" s="416"/>
    </row>
    <row r="7" spans="1:7" s="413" customFormat="1" ht="15.75" customHeight="1">
      <c r="A7" s="417" t="str">
        <f>txtMunicipality</f>
        <v>KORTENBERG</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8007</v>
      </c>
      <c r="C9" s="342">
        <v>8618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1491.29</v>
      </c>
    </row>
    <row r="15" spans="1:6">
      <c r="A15" s="348" t="s">
        <v>184</v>
      </c>
      <c r="B15" s="334">
        <v>0</v>
      </c>
    </row>
    <row r="16" spans="1:6">
      <c r="A16" s="348" t="s">
        <v>6</v>
      </c>
      <c r="B16" s="334">
        <v>0</v>
      </c>
    </row>
    <row r="17" spans="1:6">
      <c r="A17" s="348" t="s">
        <v>7</v>
      </c>
      <c r="B17" s="334">
        <v>221</v>
      </c>
    </row>
    <row r="18" spans="1:6">
      <c r="A18" s="348" t="s">
        <v>8</v>
      </c>
      <c r="B18" s="334">
        <v>243</v>
      </c>
    </row>
    <row r="19" spans="1:6">
      <c r="A19" s="348" t="s">
        <v>9</v>
      </c>
      <c r="B19" s="334">
        <v>204</v>
      </c>
    </row>
    <row r="20" spans="1:6">
      <c r="A20" s="348" t="s">
        <v>10</v>
      </c>
      <c r="B20" s="334">
        <v>93</v>
      </c>
    </row>
    <row r="21" spans="1:6">
      <c r="A21" s="348" t="s">
        <v>11</v>
      </c>
      <c r="B21" s="334">
        <v>0</v>
      </c>
    </row>
    <row r="22" spans="1:6">
      <c r="A22" s="348" t="s">
        <v>12</v>
      </c>
      <c r="B22" s="334">
        <v>3</v>
      </c>
    </row>
    <row r="23" spans="1:6">
      <c r="A23" s="348" t="s">
        <v>13</v>
      </c>
      <c r="B23" s="334">
        <v>0</v>
      </c>
    </row>
    <row r="24" spans="1:6">
      <c r="A24" s="348" t="s">
        <v>14</v>
      </c>
      <c r="B24" s="334">
        <v>0</v>
      </c>
    </row>
    <row r="25" spans="1:6">
      <c r="A25" s="348" t="s">
        <v>15</v>
      </c>
      <c r="B25" s="334">
        <v>0</v>
      </c>
    </row>
    <row r="26" spans="1:6">
      <c r="A26" s="348" t="s">
        <v>16</v>
      </c>
      <c r="B26" s="334">
        <v>149</v>
      </c>
    </row>
    <row r="27" spans="1:6">
      <c r="A27" s="348" t="s">
        <v>17</v>
      </c>
      <c r="B27" s="334">
        <v>32</v>
      </c>
    </row>
    <row r="28" spans="1:6" s="356" customFormat="1">
      <c r="A28" s="355" t="s">
        <v>18</v>
      </c>
      <c r="B28" s="355">
        <v>1</v>
      </c>
    </row>
    <row r="29" spans="1:6">
      <c r="A29" s="355" t="s">
        <v>812</v>
      </c>
      <c r="B29" s="355">
        <v>125</v>
      </c>
      <c r="C29" s="356"/>
      <c r="D29" s="356"/>
      <c r="E29" s="356"/>
      <c r="F29" s="356"/>
    </row>
    <row r="30" spans="1:6">
      <c r="A30" s="355" t="s">
        <v>813</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10333.107658000001</v>
      </c>
    </row>
    <row r="39" spans="1:6">
      <c r="A39" s="348" t="s">
        <v>30</v>
      </c>
      <c r="B39" s="348" t="s">
        <v>31</v>
      </c>
      <c r="C39" s="334">
        <v>5624</v>
      </c>
      <c r="D39" s="334">
        <v>97011584.762999997</v>
      </c>
      <c r="E39" s="334">
        <v>7975</v>
      </c>
      <c r="F39" s="334">
        <v>30596610.565000001</v>
      </c>
    </row>
    <row r="40" spans="1:6">
      <c r="A40" s="348" t="s">
        <v>30</v>
      </c>
      <c r="B40" s="348" t="s">
        <v>29</v>
      </c>
      <c r="C40" s="334">
        <v>0</v>
      </c>
      <c r="D40" s="334">
        <v>0</v>
      </c>
      <c r="E40" s="334">
        <v>0</v>
      </c>
      <c r="F40" s="334">
        <v>0</v>
      </c>
    </row>
    <row r="41" spans="1:6">
      <c r="A41" s="348" t="s">
        <v>32</v>
      </c>
      <c r="B41" s="348" t="s">
        <v>33</v>
      </c>
      <c r="C41" s="334">
        <v>33</v>
      </c>
      <c r="D41" s="334">
        <v>696517.66150000005</v>
      </c>
      <c r="E41" s="334">
        <v>97</v>
      </c>
      <c r="F41" s="334">
        <v>667170.82567000005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959779.70917000005</v>
      </c>
      <c r="E48" s="334">
        <v>55</v>
      </c>
      <c r="F48" s="334">
        <v>1115901.1453</v>
      </c>
    </row>
    <row r="49" spans="1:6">
      <c r="A49" s="348" t="s">
        <v>32</v>
      </c>
      <c r="B49" s="348" t="s">
        <v>40</v>
      </c>
      <c r="C49" s="334">
        <v>0</v>
      </c>
      <c r="D49" s="334">
        <v>0</v>
      </c>
      <c r="E49" s="334">
        <v>0</v>
      </c>
      <c r="F49" s="334">
        <v>0</v>
      </c>
    </row>
    <row r="50" spans="1:6">
      <c r="A50" s="348" t="s">
        <v>32</v>
      </c>
      <c r="B50" s="348" t="s">
        <v>41</v>
      </c>
      <c r="C50" s="334">
        <v>4</v>
      </c>
      <c r="D50" s="334">
        <v>266285.58698999998</v>
      </c>
      <c r="E50" s="334">
        <v>6</v>
      </c>
      <c r="F50" s="334">
        <v>259451.76488</v>
      </c>
    </row>
    <row r="51" spans="1:6">
      <c r="A51" s="348" t="s">
        <v>42</v>
      </c>
      <c r="B51" s="348" t="s">
        <v>43</v>
      </c>
      <c r="C51" s="334">
        <v>3</v>
      </c>
      <c r="D51" s="334">
        <v>101168.08932</v>
      </c>
      <c r="E51" s="334">
        <v>22</v>
      </c>
      <c r="F51" s="334">
        <v>197201.45107000001</v>
      </c>
    </row>
    <row r="52" spans="1:6">
      <c r="A52" s="348" t="s">
        <v>42</v>
      </c>
      <c r="B52" s="348" t="s">
        <v>29</v>
      </c>
      <c r="C52" s="334">
        <v>9</v>
      </c>
      <c r="D52" s="334">
        <v>223182.03216999999</v>
      </c>
      <c r="E52" s="334">
        <v>12</v>
      </c>
      <c r="F52" s="334">
        <v>122369.57996</v>
      </c>
    </row>
    <row r="53" spans="1:6">
      <c r="A53" s="348" t="s">
        <v>44</v>
      </c>
      <c r="B53" s="348" t="s">
        <v>45</v>
      </c>
      <c r="C53" s="334">
        <v>119</v>
      </c>
      <c r="D53" s="334">
        <v>2296741.0909000002</v>
      </c>
      <c r="E53" s="334">
        <v>252</v>
      </c>
      <c r="F53" s="334">
        <v>956111.57756000001</v>
      </c>
    </row>
    <row r="54" spans="1:6">
      <c r="A54" s="348" t="s">
        <v>46</v>
      </c>
      <c r="B54" s="348" t="s">
        <v>47</v>
      </c>
      <c r="C54" s="334">
        <v>0</v>
      </c>
      <c r="D54" s="334">
        <v>0</v>
      </c>
      <c r="E54" s="334">
        <v>1</v>
      </c>
      <c r="F54" s="334">
        <v>1348729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636440.55906999996</v>
      </c>
      <c r="E57" s="334">
        <v>43</v>
      </c>
      <c r="F57" s="334">
        <v>446113.03211999999</v>
      </c>
    </row>
    <row r="58" spans="1:6">
      <c r="A58" s="348" t="s">
        <v>49</v>
      </c>
      <c r="B58" s="348" t="s">
        <v>51</v>
      </c>
      <c r="C58" s="334">
        <v>21</v>
      </c>
      <c r="D58" s="334">
        <v>713407.70634000003</v>
      </c>
      <c r="E58" s="334">
        <v>21</v>
      </c>
      <c r="F58" s="334">
        <v>151026.57052000001</v>
      </c>
    </row>
    <row r="59" spans="1:6">
      <c r="A59" s="348" t="s">
        <v>49</v>
      </c>
      <c r="B59" s="348" t="s">
        <v>52</v>
      </c>
      <c r="C59" s="334">
        <v>52</v>
      </c>
      <c r="D59" s="334">
        <v>11770328.172</v>
      </c>
      <c r="E59" s="334">
        <v>96</v>
      </c>
      <c r="F59" s="334">
        <v>6470235.5373999998</v>
      </c>
    </row>
    <row r="60" spans="1:6">
      <c r="A60" s="348" t="s">
        <v>49</v>
      </c>
      <c r="B60" s="348" t="s">
        <v>53</v>
      </c>
      <c r="C60" s="334">
        <v>34</v>
      </c>
      <c r="D60" s="334">
        <v>1235989.4578</v>
      </c>
      <c r="E60" s="334">
        <v>42</v>
      </c>
      <c r="F60" s="334">
        <v>840494.37057000003</v>
      </c>
    </row>
    <row r="61" spans="1:6">
      <c r="A61" s="348" t="s">
        <v>49</v>
      </c>
      <c r="B61" s="348" t="s">
        <v>54</v>
      </c>
      <c r="C61" s="334">
        <v>143</v>
      </c>
      <c r="D61" s="334">
        <v>6920112.2432000004</v>
      </c>
      <c r="E61" s="334">
        <v>335</v>
      </c>
      <c r="F61" s="334">
        <v>3485708.9889000002</v>
      </c>
    </row>
    <row r="62" spans="1:6">
      <c r="A62" s="348" t="s">
        <v>49</v>
      </c>
      <c r="B62" s="348" t="s">
        <v>55</v>
      </c>
      <c r="C62" s="334">
        <v>0</v>
      </c>
      <c r="D62" s="334">
        <v>0</v>
      </c>
      <c r="E62" s="334">
        <v>0</v>
      </c>
      <c r="F62" s="334">
        <v>0</v>
      </c>
    </row>
    <row r="63" spans="1:6">
      <c r="A63" s="348" t="s">
        <v>49</v>
      </c>
      <c r="B63" s="348" t="s">
        <v>29</v>
      </c>
      <c r="C63" s="334">
        <v>180</v>
      </c>
      <c r="D63" s="334">
        <v>28553434.208000001</v>
      </c>
      <c r="E63" s="334">
        <v>207</v>
      </c>
      <c r="F63" s="334">
        <v>13227658.873</v>
      </c>
    </row>
    <row r="64" spans="1:6">
      <c r="A64" s="348" t="s">
        <v>56</v>
      </c>
      <c r="B64" s="348" t="s">
        <v>57</v>
      </c>
      <c r="C64" s="334">
        <v>0</v>
      </c>
      <c r="D64" s="334">
        <v>0</v>
      </c>
      <c r="E64" s="334">
        <v>0</v>
      </c>
      <c r="F64" s="334">
        <v>0</v>
      </c>
    </row>
    <row r="65" spans="1:6">
      <c r="A65" s="348" t="s">
        <v>56</v>
      </c>
      <c r="B65" s="348" t="s">
        <v>29</v>
      </c>
      <c r="C65" s="334">
        <v>6</v>
      </c>
      <c r="D65" s="334">
        <v>369215.4007</v>
      </c>
      <c r="E65" s="334">
        <v>13</v>
      </c>
      <c r="F65" s="334">
        <v>525663.98259000003</v>
      </c>
    </row>
    <row r="66" spans="1:6">
      <c r="A66" s="348" t="s">
        <v>56</v>
      </c>
      <c r="B66" s="348" t="s">
        <v>58</v>
      </c>
      <c r="C66" s="334">
        <v>0</v>
      </c>
      <c r="D66" s="334">
        <v>0</v>
      </c>
      <c r="E66" s="334">
        <v>5</v>
      </c>
      <c r="F66" s="334">
        <v>196071.71474</v>
      </c>
    </row>
    <row r="67" spans="1:6">
      <c r="A67" s="355" t="s">
        <v>56</v>
      </c>
      <c r="B67" s="355" t="s">
        <v>59</v>
      </c>
      <c r="C67" s="334">
        <v>0</v>
      </c>
      <c r="D67" s="334">
        <v>0</v>
      </c>
      <c r="E67" s="334">
        <v>0</v>
      </c>
      <c r="F67" s="334">
        <v>0</v>
      </c>
    </row>
    <row r="68" spans="1:6">
      <c r="A68" s="341" t="s">
        <v>56</v>
      </c>
      <c r="B68" s="341" t="s">
        <v>60</v>
      </c>
      <c r="C68" s="334">
        <v>0</v>
      </c>
      <c r="D68" s="334">
        <v>0</v>
      </c>
      <c r="E68" s="334">
        <v>3</v>
      </c>
      <c r="F68" s="334">
        <v>96578.001562999998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29359183</v>
      </c>
      <c r="E73" s="476">
        <v>36272534.326456495</v>
      </c>
    </row>
    <row r="74" spans="1:6">
      <c r="A74" s="348" t="s">
        <v>64</v>
      </c>
      <c r="B74" s="348" t="s">
        <v>667</v>
      </c>
      <c r="C74" s="1212" t="s">
        <v>669</v>
      </c>
      <c r="D74" s="476">
        <v>734477.84186659101</v>
      </c>
      <c r="E74" s="476">
        <v>925893.74429872725</v>
      </c>
    </row>
    <row r="75" spans="1:6">
      <c r="A75" s="348" t="s">
        <v>65</v>
      </c>
      <c r="B75" s="348" t="s">
        <v>666</v>
      </c>
      <c r="C75" s="1212" t="s">
        <v>670</v>
      </c>
      <c r="D75" s="476">
        <v>50772990</v>
      </c>
      <c r="E75" s="476">
        <v>61539045.877784505</v>
      </c>
    </row>
    <row r="76" spans="1:6">
      <c r="A76" s="348" t="s">
        <v>65</v>
      </c>
      <c r="B76" s="348" t="s">
        <v>667</v>
      </c>
      <c r="C76" s="1212" t="s">
        <v>671</v>
      </c>
      <c r="D76" s="476">
        <v>996330.84186659101</v>
      </c>
      <c r="E76" s="476">
        <v>1215457.8555804396</v>
      </c>
    </row>
    <row r="77" spans="1:6">
      <c r="A77" s="348" t="s">
        <v>66</v>
      </c>
      <c r="B77" s="348" t="s">
        <v>666</v>
      </c>
      <c r="C77" s="1212" t="s">
        <v>672</v>
      </c>
      <c r="D77" s="476">
        <v>183741573</v>
      </c>
      <c r="E77" s="476">
        <v>194249719.79297805</v>
      </c>
    </row>
    <row r="78" spans="1:6">
      <c r="A78" s="341" t="s">
        <v>66</v>
      </c>
      <c r="B78" s="341" t="s">
        <v>667</v>
      </c>
      <c r="C78" s="341" t="s">
        <v>673</v>
      </c>
      <c r="D78" s="1213">
        <v>17381742</v>
      </c>
      <c r="E78" s="1213">
        <v>18068891.316462543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1135992.316266818</v>
      </c>
      <c r="C83" s="476">
        <v>1135992.316266818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3288.4234880658214</v>
      </c>
    </row>
    <row r="92" spans="1:6">
      <c r="A92" s="341" t="s">
        <v>69</v>
      </c>
      <c r="B92" s="342">
        <v>838.40134336189317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51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64645.930110768786</v>
      </c>
      <c r="C3" s="43" t="s">
        <v>170</v>
      </c>
      <c r="D3" s="43"/>
      <c r="E3" s="154"/>
      <c r="F3" s="43"/>
      <c r="G3" s="43"/>
      <c r="H3" s="43"/>
      <c r="I3" s="43"/>
      <c r="J3" s="43"/>
      <c r="K3" s="96"/>
    </row>
    <row r="4" spans="1:11">
      <c r="A4" s="383" t="s">
        <v>171</v>
      </c>
      <c r="B4" s="49">
        <f>IF(ISERROR('SEAP template'!B69),0,'SEAP template'!B69)</f>
        <v>6493.8248314277143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562.51058823529411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0.20750147506556074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803.5865546218489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3381.4285714285716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1348.729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1348.729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0.20750147506556074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279.86325696369869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30596.610565000003</v>
      </c>
      <c r="C5" s="17">
        <f>IF(ISERROR('Eigen informatie GS &amp; warmtenet'!B57),0,'Eigen informatie GS &amp; warmtenet'!B57)</f>
        <v>0</v>
      </c>
      <c r="D5" s="30">
        <f>(SUM(HH_hh_gas_kWh,HH_rest_gas_kWh)/1000)*0.902</f>
        <v>87504.449456225993</v>
      </c>
      <c r="E5" s="17">
        <f>B46*B57</f>
        <v>5251.3080981508701</v>
      </c>
      <c r="F5" s="17">
        <f>B51*B62</f>
        <v>11844.892203668027</v>
      </c>
      <c r="G5" s="18"/>
      <c r="H5" s="17"/>
      <c r="I5" s="17"/>
      <c r="J5" s="17">
        <f>B50*B61+C50*C61</f>
        <v>0</v>
      </c>
      <c r="K5" s="17"/>
      <c r="L5" s="17"/>
      <c r="M5" s="17"/>
      <c r="N5" s="17">
        <f>B48*B59+C48*C59</f>
        <v>9544.9992812117362</v>
      </c>
      <c r="O5" s="17">
        <f>B69*B70*B71</f>
        <v>231.37333333333333</v>
      </c>
      <c r="P5" s="17">
        <f>B77*B78*B79/1000-B77*B78*B79/1000/B80</f>
        <v>743.6</v>
      </c>
    </row>
    <row r="6" spans="1:16">
      <c r="A6" s="16" t="s">
        <v>624</v>
      </c>
      <c r="B6" s="843">
        <f>kWh_PV_kleiner_dan_10kW</f>
        <v>3288.4234880658214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33885.034053065821</v>
      </c>
      <c r="C8" s="21">
        <f>C5</f>
        <v>0</v>
      </c>
      <c r="D8" s="21">
        <f>D5</f>
        <v>87504.449456225993</v>
      </c>
      <c r="E8" s="21">
        <f>E5</f>
        <v>5251.3080981508701</v>
      </c>
      <c r="F8" s="21">
        <f>F5</f>
        <v>11844.892203668027</v>
      </c>
      <c r="G8" s="21"/>
      <c r="H8" s="21"/>
      <c r="I8" s="21"/>
      <c r="J8" s="21">
        <f>J5</f>
        <v>0</v>
      </c>
      <c r="K8" s="21"/>
      <c r="L8" s="21">
        <f>L5</f>
        <v>0</v>
      </c>
      <c r="M8" s="21">
        <f>M5</f>
        <v>0</v>
      </c>
      <c r="N8" s="21">
        <f>N5</f>
        <v>9544.9992812117362</v>
      </c>
      <c r="O8" s="21">
        <f>O5</f>
        <v>231.37333333333333</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0.20750147506556074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7031.1945486579143</v>
      </c>
      <c r="C12" s="23">
        <f ca="1">C10*C8</f>
        <v>0</v>
      </c>
      <c r="D12" s="23">
        <f>D8*D10</f>
        <v>17675.898790157651</v>
      </c>
      <c r="E12" s="23">
        <f>E10*E8</f>
        <v>1192.0469382802476</v>
      </c>
      <c r="F12" s="23">
        <f>F10*F8</f>
        <v>3162.5862183793633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8007</v>
      </c>
      <c r="C28" s="36"/>
      <c r="D28" s="228"/>
    </row>
    <row r="29" spans="1:7" s="15" customFormat="1">
      <c r="A29" s="230" t="s">
        <v>699</v>
      </c>
      <c r="B29" s="37">
        <f>SUM(HH_hh_gas_aantal,HH_rest_gas_aantal)</f>
        <v>5624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5624</v>
      </c>
      <c r="C32" s="167">
        <f>IF(ISERROR(B32/SUM($B$32,$B$34,$B$35,$B$36,$B$38,$B$39)*100),0,B32/SUM($B$32,$B$34,$B$35,$B$36,$B$38,$B$39)*100)</f>
        <v>70.582329317269071</v>
      </c>
      <c r="D32" s="233"/>
      <c r="G32" s="15"/>
    </row>
    <row r="33" spans="1:7">
      <c r="A33" s="171" t="s">
        <v>72</v>
      </c>
      <c r="B33" s="34" t="s">
        <v>111</v>
      </c>
      <c r="C33" s="167"/>
      <c r="D33" s="233"/>
      <c r="G33" s="15"/>
    </row>
    <row r="34" spans="1:7">
      <c r="A34" s="171" t="s">
        <v>73</v>
      </c>
      <c r="B34" s="33">
        <f>IF((($B$28-$B$32-$B$39-$B$77-$B$38)*C20/100)&lt;0,0,($B$28-$B$32-$B$39-$B$77-$B$38)*C20/100)</f>
        <v>232.17500000000001</v>
      </c>
      <c r="C34" s="167">
        <f>IF(ISERROR(B34/SUM($B$32,$B$34,$B$35,$B$36,$B$38,$B$39)*100),0,B34/SUM($B$32,$B$34,$B$35,$B$36,$B$38,$B$39)*100)</f>
        <v>2.9138428714859441</v>
      </c>
      <c r="D34" s="233"/>
      <c r="G34" s="15"/>
    </row>
    <row r="35" spans="1:7">
      <c r="A35" s="171" t="s">
        <v>74</v>
      </c>
      <c r="B35" s="33">
        <f>IF((($B$28-$B$32-$B$39-$B$77-$B$38)*C21/100)&lt;0,0,($B$28-$B$32-$B$39-$B$77-$B$38)*C21/100)</f>
        <v>1476.6330000000003</v>
      </c>
      <c r="C35" s="167">
        <f>IF(ISERROR(B35/SUM($B$32,$B$34,$B$35,$B$36,$B$38,$B$39)*100),0,B35/SUM($B$32,$B$34,$B$35,$B$36,$B$38,$B$39)*100)</f>
        <v>18.532040662650605</v>
      </c>
      <c r="D35" s="233"/>
      <c r="G35" s="15"/>
    </row>
    <row r="36" spans="1:7">
      <c r="A36" s="171" t="s">
        <v>75</v>
      </c>
      <c r="B36" s="33">
        <f>IF((($B$28-$B$32-$B$39-$B$77-$B$38)*C22/100)&lt;0,0,($B$28-$B$32-$B$39-$B$77-$B$38)*C22/100)</f>
        <v>148.59200000000001</v>
      </c>
      <c r="C36" s="167">
        <f>IF(ISERROR(B36/SUM($B$32,$B$34,$B$35,$B$36,$B$38,$B$39)*100),0,B36/SUM($B$32,$B$34,$B$35,$B$36,$B$38,$B$39)*100)</f>
        <v>1.8648594377510042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486.59999999999991</v>
      </c>
      <c r="C39" s="167">
        <f>IF(ISERROR(B39/SUM($B$32,$B$34,$B$35,$B$36,$B$38,$B$39)*100),0,B39/SUM($B$32,$B$34,$B$35,$B$36,$B$38,$B$39)*100)</f>
        <v>6.1069277108433724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5624</v>
      </c>
      <c r="C44" s="34" t="s">
        <v>111</v>
      </c>
      <c r="D44" s="174"/>
    </row>
    <row r="45" spans="1:7">
      <c r="A45" s="171" t="s">
        <v>72</v>
      </c>
      <c r="B45" s="33" t="str">
        <f t="shared" si="0"/>
        <v>-</v>
      </c>
      <c r="C45" s="34" t="s">
        <v>111</v>
      </c>
      <c r="D45" s="174"/>
    </row>
    <row r="46" spans="1:7">
      <c r="A46" s="171" t="s">
        <v>73</v>
      </c>
      <c r="B46" s="33">
        <f t="shared" si="0"/>
        <v>232.17500000000001</v>
      </c>
      <c r="C46" s="34" t="s">
        <v>111</v>
      </c>
      <c r="D46" s="174"/>
    </row>
    <row r="47" spans="1:7">
      <c r="A47" s="171" t="s">
        <v>74</v>
      </c>
      <c r="B47" s="33">
        <f t="shared" si="0"/>
        <v>1476.6330000000003</v>
      </c>
      <c r="C47" s="34" t="s">
        <v>111</v>
      </c>
      <c r="D47" s="174"/>
    </row>
    <row r="48" spans="1:7">
      <c r="A48" s="171" t="s">
        <v>75</v>
      </c>
      <c r="B48" s="33">
        <f t="shared" si="0"/>
        <v>148.59200000000001</v>
      </c>
      <c r="C48" s="33">
        <f>B48*10</f>
        <v>1485.92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486.59999999999991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24621.237372510001</v>
      </c>
      <c r="C5" s="17">
        <f>IF(ISERROR('Eigen informatie GS &amp; warmtenet'!B58),0,'Eigen informatie GS &amp; warmtenet'!B58)</f>
        <v>0</v>
      </c>
      <c r="D5" s="30">
        <f>SUM(D6:D12)</f>
        <v>44946.400536461821</v>
      </c>
      <c r="E5" s="17">
        <f>SUM(E6:E12)</f>
        <v>511.24110973387269</v>
      </c>
      <c r="F5" s="17">
        <f>SUM(F6:F12)</f>
        <v>6056.9680679397916</v>
      </c>
      <c r="G5" s="18"/>
      <c r="H5" s="17"/>
      <c r="I5" s="17"/>
      <c r="J5" s="17">
        <f>SUM(J6:J12)</f>
        <v>0</v>
      </c>
      <c r="K5" s="17"/>
      <c r="L5" s="17"/>
      <c r="M5" s="17"/>
      <c r="N5" s="17">
        <f>SUM(N6:N12)</f>
        <v>1531.9541600595412</v>
      </c>
      <c r="O5" s="17">
        <f>B38*B39*B40</f>
        <v>3.1266666666666669</v>
      </c>
      <c r="P5" s="17">
        <f>B46*B47*B48/1000-B46*B47*B48/1000/B49</f>
        <v>19.066666666666666</v>
      </c>
      <c r="R5" s="32"/>
    </row>
    <row r="6" spans="1:18">
      <c r="A6" s="32" t="s">
        <v>54</v>
      </c>
      <c r="B6" s="37">
        <f>B26</f>
        <v>3485.7089889000003</v>
      </c>
      <c r="C6" s="33"/>
      <c r="D6" s="37">
        <f>IF(ISERROR(TER_kantoor_gas_kWh/1000),0,TER_kantoor_gas_kWh/1000)*0.902</f>
        <v>6241.9412433664002</v>
      </c>
      <c r="E6" s="33">
        <f>$C$26*'E Balans VL '!I12/100/3.6*1000000</f>
        <v>45.632224435561277</v>
      </c>
      <c r="F6" s="33">
        <f>$C$26*('E Balans VL '!L12+'E Balans VL '!N12)/100/3.6*1000000</f>
        <v>888.81977219833118</v>
      </c>
      <c r="G6" s="34"/>
      <c r="H6" s="33"/>
      <c r="I6" s="33"/>
      <c r="J6" s="33">
        <f>$C$26*('E Balans VL '!D12+'E Balans VL '!E12)/100/3.6*1000000</f>
        <v>0</v>
      </c>
      <c r="K6" s="33"/>
      <c r="L6" s="33"/>
      <c r="M6" s="33"/>
      <c r="N6" s="33">
        <f>$C$26*'E Balans VL '!Y12/100/3.6*1000000</f>
        <v>3.4974469272157549</v>
      </c>
      <c r="O6" s="33"/>
      <c r="P6" s="33"/>
      <c r="R6" s="32"/>
    </row>
    <row r="7" spans="1:18">
      <c r="A7" s="32" t="s">
        <v>53</v>
      </c>
      <c r="B7" s="37">
        <f t="shared" ref="B7:B12" si="0">B27</f>
        <v>840.49437057</v>
      </c>
      <c r="C7" s="33"/>
      <c r="D7" s="37">
        <f>IF(ISERROR(TER_horeca_gas_kWh/1000),0,TER_horeca_gas_kWh/1000)*0.902</f>
        <v>1114.8624909356001</v>
      </c>
      <c r="E7" s="33">
        <f>$C$27*'E Balans VL '!I9/100/3.6*1000000</f>
        <v>27.815251110116318</v>
      </c>
      <c r="F7" s="33">
        <f>$C$27*('E Balans VL '!L9+'E Balans VL '!N9)/100/3.6*1000000</f>
        <v>361.40935818049792</v>
      </c>
      <c r="G7" s="34"/>
      <c r="H7" s="33"/>
      <c r="I7" s="33"/>
      <c r="J7" s="33">
        <f>$C$27*('E Balans VL '!D9+'E Balans VL '!E9)/100/3.6*1000000</f>
        <v>0</v>
      </c>
      <c r="K7" s="33"/>
      <c r="L7" s="33"/>
      <c r="M7" s="33"/>
      <c r="N7" s="33">
        <f>$C$27*'E Balans VL '!Y9/100/3.6*1000000</f>
        <v>0.20231920031388198</v>
      </c>
      <c r="O7" s="33"/>
      <c r="P7" s="33"/>
      <c r="R7" s="32"/>
    </row>
    <row r="8" spans="1:18">
      <c r="A8" s="6" t="s">
        <v>52</v>
      </c>
      <c r="B8" s="37">
        <f t="shared" si="0"/>
        <v>6470.2355373999999</v>
      </c>
      <c r="C8" s="33"/>
      <c r="D8" s="37">
        <f>IF(ISERROR(TER_handel_gas_kWh/1000),0,TER_handel_gas_kWh/1000)*0.902</f>
        <v>10616.836011144</v>
      </c>
      <c r="E8" s="33">
        <f>$C$28*'E Balans VL '!I13/100/3.6*1000000</f>
        <v>204.210519785966</v>
      </c>
      <c r="F8" s="33">
        <f>$C$28*('E Balans VL '!L13+'E Balans VL '!N13)/100/3.6*1000000</f>
        <v>1268.927122658318</v>
      </c>
      <c r="G8" s="34"/>
      <c r="H8" s="33"/>
      <c r="I8" s="33"/>
      <c r="J8" s="33">
        <f>$C$28*('E Balans VL '!D13+'E Balans VL '!E13)/100/3.6*1000000</f>
        <v>0</v>
      </c>
      <c r="K8" s="33"/>
      <c r="L8" s="33"/>
      <c r="M8" s="33"/>
      <c r="N8" s="33">
        <f>$C$28*'E Balans VL '!Y13/100/3.6*1000000</f>
        <v>7.6789134020856755</v>
      </c>
      <c r="O8" s="33"/>
      <c r="P8" s="33"/>
      <c r="R8" s="32"/>
    </row>
    <row r="9" spans="1:18">
      <c r="A9" s="32" t="s">
        <v>51</v>
      </c>
      <c r="B9" s="37">
        <f t="shared" si="0"/>
        <v>151.02657052000001</v>
      </c>
      <c r="C9" s="33"/>
      <c r="D9" s="37">
        <f>IF(ISERROR(TER_gezond_gas_kWh/1000),0,TER_gezond_gas_kWh/1000)*0.902</f>
        <v>643.49375111868005</v>
      </c>
      <c r="E9" s="33">
        <f>$C$29*'E Balans VL '!I10/100/3.6*1000000</f>
        <v>1.9335819210849339E-2</v>
      </c>
      <c r="F9" s="33">
        <f>$C$29*('E Balans VL '!L10+'E Balans VL '!N10)/100/3.6*1000000</f>
        <v>31.465164742998613</v>
      </c>
      <c r="G9" s="34"/>
      <c r="H9" s="33"/>
      <c r="I9" s="33"/>
      <c r="J9" s="33">
        <f>$C$29*('E Balans VL '!D10+'E Balans VL '!E10)/100/3.6*1000000</f>
        <v>0</v>
      </c>
      <c r="K9" s="33"/>
      <c r="L9" s="33"/>
      <c r="M9" s="33"/>
      <c r="N9" s="33">
        <f>$C$29*'E Balans VL '!Y10/100/3.6*1000000</f>
        <v>1.7738784552992555</v>
      </c>
      <c r="O9" s="33"/>
      <c r="P9" s="33"/>
      <c r="R9" s="32"/>
    </row>
    <row r="10" spans="1:18">
      <c r="A10" s="32" t="s">
        <v>50</v>
      </c>
      <c r="B10" s="37">
        <f t="shared" si="0"/>
        <v>446.11303212000001</v>
      </c>
      <c r="C10" s="33"/>
      <c r="D10" s="37">
        <f>IF(ISERROR(TER_ander_gas_kWh/1000),0,TER_ander_gas_kWh/1000)*0.902</f>
        <v>574.06938428113995</v>
      </c>
      <c r="E10" s="33">
        <f>$C$30*'E Balans VL '!I14/100/3.6*1000000</f>
        <v>0.67084908987500236</v>
      </c>
      <c r="F10" s="33">
        <f>$C$30*('E Balans VL '!L14+'E Balans VL '!N14)/100/3.6*1000000</f>
        <v>98.487377218294711</v>
      </c>
      <c r="G10" s="34"/>
      <c r="H10" s="33"/>
      <c r="I10" s="33"/>
      <c r="J10" s="33">
        <f>$C$30*('E Balans VL '!D14+'E Balans VL '!E14)/100/3.6*1000000</f>
        <v>0</v>
      </c>
      <c r="K10" s="33"/>
      <c r="L10" s="33"/>
      <c r="M10" s="33"/>
      <c r="N10" s="33">
        <f>$C$30*'E Balans VL '!Y14/100/3.6*1000000</f>
        <v>351.56709158566923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13227.658873</v>
      </c>
      <c r="C12" s="33"/>
      <c r="D12" s="37">
        <f>IF(ISERROR(TER_rest_gas_kWh/1000),0,TER_rest_gas_kWh/1000)*0.902</f>
        <v>25755.197655616001</v>
      </c>
      <c r="E12" s="33">
        <f>$C$32*'E Balans VL '!I8/100/3.6*1000000</f>
        <v>232.89292949314327</v>
      </c>
      <c r="F12" s="33">
        <f>$C$32*('E Balans VL '!L8+'E Balans VL '!N8)/100/3.6*1000000</f>
        <v>3407.8592729413508</v>
      </c>
      <c r="G12" s="34"/>
      <c r="H12" s="33"/>
      <c r="I12" s="33"/>
      <c r="J12" s="33">
        <f>$C$32*('E Balans VL '!D8+'E Balans VL '!E8)/100/3.6*1000000</f>
        <v>0</v>
      </c>
      <c r="K12" s="33"/>
      <c r="L12" s="33"/>
      <c r="M12" s="33"/>
      <c r="N12" s="33">
        <f>$C$32*'E Balans VL '!Y8/100/3.6*1000000</f>
        <v>1167.2345104889573</v>
      </c>
      <c r="O12" s="33"/>
      <c r="P12" s="33"/>
      <c r="R12" s="32"/>
    </row>
    <row r="13" spans="1:18">
      <c r="A13" s="16" t="s">
        <v>491</v>
      </c>
      <c r="B13" s="247">
        <f ca="1">'lokale energieproductie'!N90+'lokale energieproductie'!N59</f>
        <v>2367</v>
      </c>
      <c r="C13" s="247">
        <f ca="1">'lokale energieproductie'!O90+'lokale energieproductie'!O59</f>
        <v>3381.4285714285716</v>
      </c>
      <c r="D13" s="310">
        <f ca="1">('lokale energieproductie'!P59+'lokale energieproductie'!P90)*(-1)</f>
        <v>-6762.8571428571431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26988.237372510001</v>
      </c>
      <c r="C16" s="21">
        <f t="shared" ca="1" si="1"/>
        <v>3381.4285714285716</v>
      </c>
      <c r="D16" s="21">
        <f t="shared" ca="1" si="1"/>
        <v>38183.543393604676</v>
      </c>
      <c r="E16" s="21">
        <f t="shared" si="1"/>
        <v>511.24110973387269</v>
      </c>
      <c r="F16" s="21">
        <f t="shared" ca="1" si="1"/>
        <v>6056.9680679397916</v>
      </c>
      <c r="G16" s="21">
        <f t="shared" si="1"/>
        <v>0</v>
      </c>
      <c r="H16" s="21">
        <f t="shared" si="1"/>
        <v>0</v>
      </c>
      <c r="I16" s="21">
        <f t="shared" si="1"/>
        <v>0</v>
      </c>
      <c r="J16" s="21">
        <f t="shared" si="1"/>
        <v>0</v>
      </c>
      <c r="K16" s="21">
        <f t="shared" si="1"/>
        <v>0</v>
      </c>
      <c r="L16" s="21">
        <f t="shared" ca="1" si="1"/>
        <v>0</v>
      </c>
      <c r="M16" s="21">
        <f t="shared" si="1"/>
        <v>0</v>
      </c>
      <c r="N16" s="21">
        <f t="shared" ca="1" si="1"/>
        <v>1531.9541600595412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0.20750147506556074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5600.0990642153183</v>
      </c>
      <c r="C20" s="23">
        <f t="shared" ref="C20:P20" ca="1" si="2">C16*C18</f>
        <v>803.5865546218489</v>
      </c>
      <c r="D20" s="23">
        <f t="shared" ca="1" si="2"/>
        <v>7713.0757655081452</v>
      </c>
      <c r="E20" s="23">
        <f t="shared" si="2"/>
        <v>116.05173190958911</v>
      </c>
      <c r="F20" s="23">
        <f t="shared" ca="1" si="2"/>
        <v>1617.2104741399244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3485.7089889000003</v>
      </c>
      <c r="C26" s="39">
        <f>IF(ISERROR(B26*3.6/1000000/'E Balans VL '!Z12*100),0,B26*3.6/1000000/'E Balans VL '!Z12*100)</f>
        <v>7.4666594484105495E-2</v>
      </c>
      <c r="D26" s="237" t="s">
        <v>660</v>
      </c>
      <c r="F26" s="6"/>
    </row>
    <row r="27" spans="1:18">
      <c r="A27" s="231" t="s">
        <v>53</v>
      </c>
      <c r="B27" s="33">
        <f>IF(ISERROR(TER_horeca_ele_kWh/1000),0,TER_horeca_ele_kWh/1000)</f>
        <v>840.49437057</v>
      </c>
      <c r="C27" s="39">
        <f>IF(ISERROR(B27*3.6/1000000/'E Balans VL '!Z9*100),0,B27*3.6/1000000/'E Balans VL '!Z9*100)</f>
        <v>6.7446751709630923E-2</v>
      </c>
      <c r="D27" s="237" t="s">
        <v>660</v>
      </c>
      <c r="F27" s="6"/>
    </row>
    <row r="28" spans="1:18">
      <c r="A28" s="171" t="s">
        <v>52</v>
      </c>
      <c r="B28" s="33">
        <f>IF(ISERROR(TER_handel_ele_kWh/1000),0,TER_handel_ele_kWh/1000)</f>
        <v>6470.2355373999999</v>
      </c>
      <c r="C28" s="39">
        <f>IF(ISERROR(B28*3.6/1000000/'E Balans VL '!Z13*100),0,B28*3.6/1000000/'E Balans VL '!Z13*100)</f>
        <v>0.19083483656252659</v>
      </c>
      <c r="D28" s="237" t="s">
        <v>660</v>
      </c>
      <c r="F28" s="6"/>
    </row>
    <row r="29" spans="1:18">
      <c r="A29" s="231" t="s">
        <v>51</v>
      </c>
      <c r="B29" s="33">
        <f>IF(ISERROR(TER_gezond_ele_kWh/1000),0,TER_gezond_ele_kWh/1000)</f>
        <v>151.02657052000001</v>
      </c>
      <c r="C29" s="39">
        <f>IF(ISERROR(B29*3.6/1000000/'E Balans VL '!Z10*100),0,B29*3.6/1000000/'E Balans VL '!Z10*100)</f>
        <v>1.6125588557337579E-2</v>
      </c>
      <c r="D29" s="237" t="s">
        <v>660</v>
      </c>
      <c r="F29" s="6"/>
    </row>
    <row r="30" spans="1:18">
      <c r="A30" s="231" t="s">
        <v>50</v>
      </c>
      <c r="B30" s="33">
        <f>IF(ISERROR(TER_ander_ele_kWh/1000),0,TER_ander_ele_kWh/1000)</f>
        <v>446.11303212000001</v>
      </c>
      <c r="C30" s="39">
        <f>IF(ISERROR(B30*3.6/1000000/'E Balans VL '!Z14*100),0,B30*3.6/1000000/'E Balans VL '!Z14*100)</f>
        <v>3.3696669131238331E-2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13227.658873</v>
      </c>
      <c r="C32" s="39">
        <f>IF(ISERROR(B32*3.6/1000000/'E Balans VL '!Z8*100),0,B32*3.6/1000000/'E Balans VL '!Z8*100)</f>
        <v>0.10967571143927102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2042.5237358500001</v>
      </c>
      <c r="C5" s="17">
        <f>IF(ISERROR('Eigen informatie GS &amp; warmtenet'!B59),0,'Eigen informatie GS &amp; warmtenet'!B59)</f>
        <v>0</v>
      </c>
      <c r="D5" s="30">
        <f>SUM(D6:D15)</f>
        <v>1734.1698278093199</v>
      </c>
      <c r="E5" s="17">
        <f>SUM(E6:E15)</f>
        <v>237.40569973734983</v>
      </c>
      <c r="F5" s="17">
        <f>SUM(F6:F15)</f>
        <v>876.30882649250395</v>
      </c>
      <c r="G5" s="18"/>
      <c r="H5" s="17"/>
      <c r="I5" s="17"/>
      <c r="J5" s="17">
        <f>SUM(J6:J15)</f>
        <v>9.0467395285007264</v>
      </c>
      <c r="K5" s="17"/>
      <c r="L5" s="17"/>
      <c r="M5" s="17"/>
      <c r="N5" s="17">
        <f>SUM(N6:N15)</f>
        <v>530.65504869963718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667.17082567</v>
      </c>
      <c r="C9" s="33"/>
      <c r="D9" s="37">
        <f>IF( ISERROR(IND_andere_gas_kWh/1000),0,IND_andere_gas_kWh/1000)*0.902</f>
        <v>628.25893067300001</v>
      </c>
      <c r="E9" s="33">
        <f>C31*'E Balans VL '!I19/100/3.6*1000000</f>
        <v>170.24689954825342</v>
      </c>
      <c r="F9" s="33">
        <f>C31*'E Balans VL '!L19/100/3.6*1000000+C31*'E Balans VL '!N19/100/3.6*1000000</f>
        <v>574.3839343930839</v>
      </c>
      <c r="G9" s="34"/>
      <c r="H9" s="33"/>
      <c r="I9" s="33"/>
      <c r="J9" s="40">
        <f>C31*'E Balans VL '!D19/100/3.6*1000000+C31*'E Balans VL '!E19/100/3.6*1000000</f>
        <v>0</v>
      </c>
      <c r="K9" s="33"/>
      <c r="L9" s="33"/>
      <c r="M9" s="33"/>
      <c r="N9" s="33">
        <f>C31*'E Balans VL '!Y19/100/3.6*1000000</f>
        <v>208.64716540154859</v>
      </c>
      <c r="O9" s="33"/>
      <c r="P9" s="33"/>
      <c r="R9" s="32"/>
    </row>
    <row r="10" spans="1:18">
      <c r="A10" s="6" t="s">
        <v>41</v>
      </c>
      <c r="B10" s="37">
        <f t="shared" si="0"/>
        <v>259.45176487999998</v>
      </c>
      <c r="C10" s="33"/>
      <c r="D10" s="37">
        <f>IF( ISERROR(IND_voed_gas_kWh/1000),0,IND_voed_gas_kWh/1000)*0.902</f>
        <v>240.18959946497998</v>
      </c>
      <c r="E10" s="33">
        <f>C32*'E Balans VL '!I20/100/3.6*1000000</f>
        <v>6.5956201197173954</v>
      </c>
      <c r="F10" s="33">
        <f>C32*'E Balans VL '!L20/100/3.6*1000000+C32*'E Balans VL '!N20/100/3.6*1000000</f>
        <v>58.710039685473419</v>
      </c>
      <c r="G10" s="34"/>
      <c r="H10" s="33"/>
      <c r="I10" s="33"/>
      <c r="J10" s="40">
        <f>C32*'E Balans VL '!D20/100/3.6*1000000+C32*'E Balans VL '!E20/100/3.6*1000000</f>
        <v>0</v>
      </c>
      <c r="K10" s="33"/>
      <c r="L10" s="33"/>
      <c r="M10" s="33"/>
      <c r="N10" s="33">
        <f>C32*'E Balans VL '!Y20/100/3.6*1000000</f>
        <v>97.301444546709547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1115.9011453000001</v>
      </c>
      <c r="C15" s="33"/>
      <c r="D15" s="37">
        <f>IF( ISERROR(IND_rest_gas_kWh/1000),0,IND_rest_gas_kWh/1000)*0.902</f>
        <v>865.72129767134004</v>
      </c>
      <c r="E15" s="33">
        <f>C37*'E Balans VL '!I15/100/3.6*1000000</f>
        <v>60.563180069379015</v>
      </c>
      <c r="F15" s="33">
        <f>C37*'E Balans VL '!L15/100/3.6*1000000+C37*'E Balans VL '!N15/100/3.6*1000000</f>
        <v>243.21485241394669</v>
      </c>
      <c r="G15" s="34"/>
      <c r="H15" s="33"/>
      <c r="I15" s="33"/>
      <c r="J15" s="40">
        <f>C37*'E Balans VL '!D15/100/3.6*1000000+C37*'E Balans VL '!E15/100/3.6*1000000</f>
        <v>9.0467395285007264</v>
      </c>
      <c r="K15" s="33"/>
      <c r="L15" s="33"/>
      <c r="M15" s="33"/>
      <c r="N15" s="33">
        <f>C37*'E Balans VL '!Y15/100/3.6*1000000</f>
        <v>224.70643875137901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2042.5237358500001</v>
      </c>
      <c r="C18" s="21">
        <f>C5+C16</f>
        <v>0</v>
      </c>
      <c r="D18" s="21">
        <f>MAX((D5+D16),0)</f>
        <v>1734.1698278093199</v>
      </c>
      <c r="E18" s="21">
        <f>MAX((E5+E16),0)</f>
        <v>237.40569973734983</v>
      </c>
      <c r="F18" s="21">
        <f>MAX((F5+F16),0)</f>
        <v>876.30882649250395</v>
      </c>
      <c r="G18" s="21"/>
      <c r="H18" s="21"/>
      <c r="I18" s="21"/>
      <c r="J18" s="21">
        <f>MAX((J5+J16),0)</f>
        <v>9.0467395285007264</v>
      </c>
      <c r="K18" s="21"/>
      <c r="L18" s="21">
        <f>MAX((L5+L16),0)</f>
        <v>0</v>
      </c>
      <c r="M18" s="21"/>
      <c r="N18" s="21">
        <f>MAX((N5+N16),0)</f>
        <v>530.65504869963718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0.20750147506556074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423.82668804529476</v>
      </c>
      <c r="C22" s="23">
        <f ca="1">C18*C20</f>
        <v>0</v>
      </c>
      <c r="D22" s="23">
        <f>D18*D20</f>
        <v>350.30230521748263</v>
      </c>
      <c r="E22" s="23">
        <f>E18*E20</f>
        <v>53.891093840378417</v>
      </c>
      <c r="F22" s="23">
        <f>F18*F20</f>
        <v>233.97445667349857</v>
      </c>
      <c r="G22" s="23"/>
      <c r="H22" s="23"/>
      <c r="I22" s="23"/>
      <c r="J22" s="23">
        <f>J18*J20</f>
        <v>3.2025457930892571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667.17082567</v>
      </c>
      <c r="C31" s="39">
        <f>IF(ISERROR(B31*3.6/1000000/'E Balans VL '!Z19*100),0,B31*3.6/1000000/'E Balans VL '!Z19*100)</f>
        <v>2.8082734973984037E-2</v>
      </c>
      <c r="D31" s="237" t="s">
        <v>660</v>
      </c>
    </row>
    <row r="32" spans="1:18">
      <c r="A32" s="171" t="s">
        <v>41</v>
      </c>
      <c r="B32" s="37">
        <f>IF( ISERROR(IND_voed_ele_kWh/1000),0,IND_voed_ele_kWh/1000)</f>
        <v>259.45176487999998</v>
      </c>
      <c r="C32" s="39">
        <f>IF(ISERROR(B32*3.6/1000000/'E Balans VL '!Z20*100),0,B32*3.6/1000000/'E Balans VL '!Z20*100)</f>
        <v>4.3344352818030049E-2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1115.9011453000001</v>
      </c>
      <c r="C37" s="39">
        <f>IF(ISERROR(B37*3.6/1000000/'E Balans VL '!Z15*100),0,B37*3.6/1000000/'E Balans VL '!Z15*100)</f>
        <v>9.0091020427349733E-3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319.57103103000003</v>
      </c>
      <c r="C5" s="17">
        <f>'Eigen informatie GS &amp; warmtenet'!B60</f>
        <v>0</v>
      </c>
      <c r="D5" s="30">
        <f>IF(ISERROR(SUM(LB_lb_gas_kWh,LB_rest_gas_kWh,onbekend_gas_kWh)/1000),0,SUM(LB_lb_gas_kWh,LB_rest_gas_kWh,onbekend_gas_kWh)/1000)*0.902</f>
        <v>2364.22427357578</v>
      </c>
      <c r="E5" s="17">
        <f>B17*'E Balans VL '!I25/3.6*1000000/100</f>
        <v>8.2405098793651117</v>
      </c>
      <c r="F5" s="17">
        <f>B17*('E Balans VL '!L25/3.6*1000000+'E Balans VL '!N25/3.6*1000000)/100</f>
        <v>1168.0929777611368</v>
      </c>
      <c r="G5" s="18"/>
      <c r="H5" s="17"/>
      <c r="I5" s="17"/>
      <c r="J5" s="17">
        <f>('E Balans VL '!D25+'E Balans VL '!E25)/3.6*1000000*landbouw!B17/100</f>
        <v>46.006472518390694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319.57103103000003</v>
      </c>
      <c r="C8" s="21">
        <f>C5+C6</f>
        <v>0</v>
      </c>
      <c r="D8" s="21">
        <f>MAX((D5+D6),0)</f>
        <v>2364.22427357578</v>
      </c>
      <c r="E8" s="21">
        <f>MAX((E5+E6),0)</f>
        <v>8.2405098793651117</v>
      </c>
      <c r="F8" s="21">
        <f>MAX((F5+F6),0)</f>
        <v>1168.0929777611368</v>
      </c>
      <c r="G8" s="21"/>
      <c r="H8" s="21"/>
      <c r="I8" s="21"/>
      <c r="J8" s="21">
        <f>MAX((J5+J6),0)</f>
        <v>46.006472518390694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0.20750147506556074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66.311460326947085</v>
      </c>
      <c r="C12" s="23">
        <f ca="1">C8*C10</f>
        <v>0</v>
      </c>
      <c r="D12" s="23">
        <f>D8*D10</f>
        <v>477.5733032623076</v>
      </c>
      <c r="E12" s="23">
        <f>E8*E10</f>
        <v>1.8705957426158804</v>
      </c>
      <c r="F12" s="23">
        <f>F8*F10</f>
        <v>311.88082506222355</v>
      </c>
      <c r="G12" s="23"/>
      <c r="H12" s="23"/>
      <c r="I12" s="23"/>
      <c r="J12" s="23">
        <f>J8*J10</f>
        <v>16.286291271510304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4.5061632166275012E-2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46.738777401490474</v>
      </c>
      <c r="C26" s="247">
        <f>B26*'GWP N2O_CH4'!B5</f>
        <v>981.51432543129999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2.5424895174203272</v>
      </c>
      <c r="C27" s="247">
        <f>B27*'GWP N2O_CH4'!B5</f>
        <v>53.392279865826872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0.70178907722120298</v>
      </c>
      <c r="C28" s="247">
        <f>B28*'GWP N2O_CH4'!B4</f>
        <v>217.55461393857291</v>
      </c>
      <c r="D28" s="50"/>
    </row>
    <row r="29" spans="1:4">
      <c r="A29" s="41" t="s">
        <v>277</v>
      </c>
      <c r="B29" s="247">
        <f>B34*'ha_N2O bodem landbouw'!B4</f>
        <v>9.8381603516388978</v>
      </c>
      <c r="C29" s="247">
        <f>B29*'GWP N2O_CH4'!B4</f>
        <v>3049.8297090080582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2.2141207003040669E-3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2.2260570592665574E-4</v>
      </c>
      <c r="C5" s="463" t="s">
        <v>211</v>
      </c>
      <c r="D5" s="448">
        <f>SUM(D6:D11)</f>
        <v>5.2233675661637023E-4</v>
      </c>
      <c r="E5" s="448">
        <f>SUM(E6:E11)</f>
        <v>2.3232277872675972E-3</v>
      </c>
      <c r="F5" s="461" t="s">
        <v>211</v>
      </c>
      <c r="G5" s="448">
        <f>SUM(G6:G11)</f>
        <v>0.68289679456550378</v>
      </c>
      <c r="H5" s="448">
        <f>SUM(H6:H11)</f>
        <v>0.14389029232805495</v>
      </c>
      <c r="I5" s="463" t="s">
        <v>211</v>
      </c>
      <c r="J5" s="463" t="s">
        <v>211</v>
      </c>
      <c r="K5" s="463" t="s">
        <v>211</v>
      </c>
      <c r="L5" s="463" t="s">
        <v>211</v>
      </c>
      <c r="M5" s="448">
        <f>SUM(M6:M11)</f>
        <v>2.5826150479909108E-2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2.4767608586361111E-5</v>
      </c>
      <c r="C6" s="449"/>
      <c r="D6" s="962">
        <f>vkm_2011_GW_PW*SUMIFS(TableVerdeelsleutelVkm[CNG],TableVerdeelsleutelVkm[Voertuigtype],"Lichte voertuigen")*SUMIFS(TableECFTransport[EnergieConsumptieFactor (PJ per km)],TableECFTransport[Index],CONCATENATE($A6,"_CNG_CNG"))</f>
        <v>4.9213672103768857E-5</v>
      </c>
      <c r="E6" s="962">
        <f>vkm_2011_GW_PW*SUMIFS(TableVerdeelsleutelVkm[LPG],TableVerdeelsleutelVkm[Voertuigtype],"Lichte voertuigen")*SUMIFS(TableECFTransport[EnergieConsumptieFactor (PJ per km)],TableECFTransport[Index],CONCATENATE($A6,"_LPG_LPG"))</f>
        <v>1.936734415072731E-4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4.6048899067151358E-2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1.3323621599083395E-2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1.8501025693470666E-3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7.0379118757347018E-3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2.2735461497659858E-6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2.2175383466388582E-4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4.2832443364627237E-5</v>
      </c>
      <c r="C8" s="449"/>
      <c r="D8" s="451">
        <f>vkm_2011_NGW_PW*SUMIFS(TableVerdeelsleutelVkm[CNG],TableVerdeelsleutelVkm[Voertuigtype],"Lichte voertuigen")*SUMIFS(TableECFTransport[EnergieConsumptieFactor (PJ per km)],TableECFTransport[Index],CONCATENATE($A8,"_CNG_CNG"))</f>
        <v>1.5069666492197593E-4</v>
      </c>
      <c r="E8" s="451">
        <f>vkm_2011_NGW_PW*SUMIFS(TableVerdeelsleutelVkm[LPG],TableVerdeelsleutelVkm[Voertuigtype],"Lichte voertuigen")*SUMIFS(TableECFTransport[EnergieConsumptieFactor (PJ per km)],TableECFTransport[Index],CONCATENATE($A8,"_LPG_LPG"))</f>
        <v>5.4846222215143808E-4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0.12177403115201256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3.9560081243176996E-2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5.0222679646698132E-3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1.2185866257335738E-2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3.7228854668598701E-6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3.8395159181874418E-4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1.550056539756674E-4</v>
      </c>
      <c r="C10" s="449"/>
      <c r="D10" s="451">
        <f>vkm_2011_SW_PW*SUMIFS(TableVerdeelsleutelVkm[CNG],TableVerdeelsleutelVkm[Voertuigtype],"Lichte voertuigen")*SUMIFS(TableECFTransport[EnergieConsumptieFactor (PJ per km)],TableECFTransport[Index],CONCATENATE($A10,"_CNG_CNG"))</f>
        <v>3.2242641959062538E-4</v>
      </c>
      <c r="E10" s="451">
        <f>vkm_2011_SW_PW*SUMIFS(TableVerdeelsleutelVkm[LPG],TableVerdeelsleutelVkm[Voertuigtype],"Lichte voertuigen")*SUMIFS(TableECFTransport[EnergieConsumptieFactor (PJ per km)],TableECFTransport[Index],CONCATENATE($A10,"_LPG_LPG"))</f>
        <v>1.5810921236088858E-3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0.33675446882382987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9.094521847382836E-2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1.3335095673813612E-2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0.15909561738943956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5.5374580349563188E-5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5.0129788455959869E-3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61.834918312959928</v>
      </c>
      <c r="C14" s="21"/>
      <c r="D14" s="21">
        <f t="shared" ref="D14:M14" si="0">((D5)*10^9/3600)+D12</f>
        <v>145.09354350454728</v>
      </c>
      <c r="E14" s="21">
        <f t="shared" si="0"/>
        <v>645.34105201877708</v>
      </c>
      <c r="F14" s="21"/>
      <c r="G14" s="21">
        <f t="shared" si="0"/>
        <v>189693.55404597329</v>
      </c>
      <c r="H14" s="21">
        <f t="shared" si="0"/>
        <v>39969.525646681926</v>
      </c>
      <c r="I14" s="21"/>
      <c r="J14" s="21"/>
      <c r="K14" s="21"/>
      <c r="L14" s="21"/>
      <c r="M14" s="21">
        <f t="shared" si="0"/>
        <v>7173.9306888636411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0.20750147506556074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12.83083676049764</v>
      </c>
      <c r="C18" s="23"/>
      <c r="D18" s="23">
        <f t="shared" ref="D18:M18" si="1">D14*D16</f>
        <v>29.308895787918555</v>
      </c>
      <c r="E18" s="23">
        <f t="shared" si="1"/>
        <v>146.49241880826241</v>
      </c>
      <c r="F18" s="23"/>
      <c r="G18" s="23">
        <f t="shared" si="1"/>
        <v>50648.178930274873</v>
      </c>
      <c r="H18" s="23">
        <f t="shared" si="1"/>
        <v>9952.4118860237995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1.4768207385428844E-2</v>
      </c>
      <c r="H50" s="321">
        <f t="shared" si="2"/>
        <v>0</v>
      </c>
      <c r="I50" s="321">
        <f t="shared" si="2"/>
        <v>0</v>
      </c>
      <c r="J50" s="321">
        <f t="shared" si="2"/>
        <v>0</v>
      </c>
      <c r="K50" s="321">
        <f t="shared" si="2"/>
        <v>0</v>
      </c>
      <c r="L50" s="321">
        <f t="shared" si="2"/>
        <v>0</v>
      </c>
      <c r="M50" s="321">
        <f t="shared" si="2"/>
        <v>4.5807675392696629E-4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1.4768207385428844E-2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4.5807675392696629E-4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4102.2798292857897</v>
      </c>
      <c r="H54" s="21">
        <f t="shared" si="3"/>
        <v>0</v>
      </c>
      <c r="I54" s="21">
        <f t="shared" si="3"/>
        <v>0</v>
      </c>
      <c r="J54" s="21">
        <f t="shared" si="3"/>
        <v>0</v>
      </c>
      <c r="K54" s="21">
        <f t="shared" si="3"/>
        <v>0</v>
      </c>
      <c r="L54" s="21">
        <f t="shared" si="3"/>
        <v>0</v>
      </c>
      <c r="M54" s="21">
        <f t="shared" si="3"/>
        <v>127.24354275749063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0.20750147506556074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1095.3087144193059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4126.8248314277143</v>
      </c>
      <c r="C6" s="1203"/>
      <c r="D6" s="1188"/>
      <c r="E6" s="1188"/>
      <c r="F6" s="1206"/>
      <c r="G6" s="1209"/>
      <c r="H6" s="1200"/>
      <c r="I6" s="1188"/>
      <c r="J6" s="1188"/>
      <c r="K6" s="1188"/>
      <c r="L6" s="1192"/>
      <c r="M6" s="575"/>
      <c r="N6" s="1166"/>
      <c r="O6" s="1167"/>
      <c r="Q6" s="573"/>
      <c r="R6" s="1154"/>
      <c r="S6" s="1154"/>
    </row>
    <row r="7" spans="1:19" s="563" customFormat="1">
      <c r="A7" s="576" t="s">
        <v>252</v>
      </c>
      <c r="B7" s="577">
        <f>N57</f>
        <v>2367</v>
      </c>
      <c r="C7" s="578">
        <f>B100</f>
        <v>2784.705882352941</v>
      </c>
      <c r="D7" s="579"/>
      <c r="E7" s="579">
        <f>E100</f>
        <v>0</v>
      </c>
      <c r="F7" s="580"/>
      <c r="G7" s="581"/>
      <c r="H7" s="579">
        <f>I100</f>
        <v>0</v>
      </c>
      <c r="I7" s="579">
        <f>G100+F100</f>
        <v>0</v>
      </c>
      <c r="J7" s="579">
        <f>H100+D100+C100</f>
        <v>0</v>
      </c>
      <c r="K7" s="579"/>
      <c r="L7" s="582"/>
      <c r="M7" s="583">
        <f>C7*$C$11+D7*$D$11+E7*$E$11+F7*$F$11+G7*$G$11+H7*$H$11+I7*$I$11+J7*$J$11</f>
        <v>562.51058823529411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6493.8248314277143</v>
      </c>
      <c r="C9" s="594">
        <f t="shared" ref="C9:L9" si="0">SUM(C7:C8)</f>
        <v>2784.705882352941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562.51058823529411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3381.4285714285716</v>
      </c>
      <c r="C16" s="610">
        <f>B101</f>
        <v>3978.1512605042021</v>
      </c>
      <c r="D16" s="611"/>
      <c r="E16" s="611">
        <f>E101</f>
        <v>0</v>
      </c>
      <c r="F16" s="612"/>
      <c r="G16" s="613"/>
      <c r="H16" s="610">
        <f>I101</f>
        <v>0</v>
      </c>
      <c r="I16" s="611">
        <f>G101+F101</f>
        <v>0</v>
      </c>
      <c r="J16" s="611">
        <f>H101+D101+C101</f>
        <v>0</v>
      </c>
      <c r="K16" s="611"/>
      <c r="L16" s="614"/>
      <c r="M16" s="615">
        <f>C16*$C$21+E16*$E$21+H16*$H$21+I16*$I$21+J16*$J$21+D16*$D$21+F16*$F$21+G16*$G$21+K16*$K$21+L16*$L$21</f>
        <v>803.5865546218489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3381.4285714285716</v>
      </c>
      <c r="C19" s="593">
        <f>SUM(C16:C18)</f>
        <v>3978.1512605042021</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803.5865546218489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24055</v>
      </c>
      <c r="C27" s="851">
        <v>3071</v>
      </c>
      <c r="D27" s="672" t="s">
        <v>818</v>
      </c>
      <c r="E27" s="671" t="s">
        <v>819</v>
      </c>
      <c r="F27" s="671" t="s">
        <v>820</v>
      </c>
      <c r="G27" s="671" t="s">
        <v>821</v>
      </c>
      <c r="H27" s="671" t="s">
        <v>822</v>
      </c>
      <c r="I27" s="671" t="s">
        <v>823</v>
      </c>
      <c r="J27" s="850">
        <v>40227</v>
      </c>
      <c r="K27" s="850">
        <v>40238</v>
      </c>
      <c r="L27" s="671" t="s">
        <v>824</v>
      </c>
      <c r="M27" s="671">
        <v>526</v>
      </c>
      <c r="N27" s="671">
        <v>2367</v>
      </c>
      <c r="O27" s="671">
        <v>3381.4285714285716</v>
      </c>
      <c r="P27" s="671">
        <v>6762.8571428571431</v>
      </c>
      <c r="Q27" s="671">
        <v>0</v>
      </c>
      <c r="R27" s="671">
        <v>0</v>
      </c>
      <c r="S27" s="671">
        <v>0</v>
      </c>
      <c r="T27" s="671">
        <v>0</v>
      </c>
      <c r="U27" s="671">
        <v>0</v>
      </c>
      <c r="V27" s="671">
        <v>0</v>
      </c>
      <c r="W27" s="671">
        <v>0</v>
      </c>
      <c r="X27" s="671">
        <v>1100</v>
      </c>
      <c r="Y27" s="671" t="s">
        <v>52</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526</v>
      </c>
      <c r="N57" s="629">
        <f>SUM(N27:N56)</f>
        <v>2367</v>
      </c>
      <c r="O57" s="629">
        <f t="shared" ref="O57:W57" si="2">SUM(O27:O56)</f>
        <v>3381.4285714285716</v>
      </c>
      <c r="P57" s="629">
        <f t="shared" si="2"/>
        <v>6762.8571428571431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526</v>
      </c>
      <c r="N59" s="629">
        <f ca="1">SUMIF($Z$27:AB56,"tertiair",N27:N56)</f>
        <v>2367</v>
      </c>
      <c r="O59" s="629">
        <f ca="1">SUMIF($Z$27:AC56,"tertiair",O27:O56)</f>
        <v>3381.4285714285716</v>
      </c>
      <c r="P59" s="629">
        <f ca="1">SUMIF($Z$27:AD56,"tertiair",P27:P56)</f>
        <v>6762.8571428571431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2784.705882352941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3978.1512605042021</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28336.96637251</v>
      </c>
      <c r="D10" s="718">
        <f ca="1">tertiair!C16</f>
        <v>3381.4285714285716</v>
      </c>
      <c r="E10" s="718">
        <f ca="1">tertiair!D16</f>
        <v>38183.543393604676</v>
      </c>
      <c r="F10" s="718">
        <f>tertiair!E16</f>
        <v>511.24110973387269</v>
      </c>
      <c r="G10" s="718">
        <f ca="1">tertiair!F16</f>
        <v>6056.9680679397916</v>
      </c>
      <c r="H10" s="718">
        <f>tertiair!G16</f>
        <v>0</v>
      </c>
      <c r="I10" s="718">
        <f>tertiair!H16</f>
        <v>0</v>
      </c>
      <c r="J10" s="718">
        <f>tertiair!I16</f>
        <v>0</v>
      </c>
      <c r="K10" s="718">
        <f>tertiair!J16</f>
        <v>0</v>
      </c>
      <c r="L10" s="718">
        <f>tertiair!K16</f>
        <v>0</v>
      </c>
      <c r="M10" s="718">
        <f ca="1">tertiair!L16</f>
        <v>0</v>
      </c>
      <c r="N10" s="718">
        <f>tertiair!M16</f>
        <v>0</v>
      </c>
      <c r="O10" s="718">
        <f ca="1">tertiair!N16</f>
        <v>1531.9541600595412</v>
      </c>
      <c r="P10" s="718">
        <f>tertiair!O16</f>
        <v>3.1266666666666669</v>
      </c>
      <c r="Q10" s="719">
        <f>tertiair!P16</f>
        <v>19.066666666666666</v>
      </c>
      <c r="R10" s="721">
        <f ca="1">SUM(C10:Q10)</f>
        <v>78024.295008609784</v>
      </c>
      <c r="S10" s="67"/>
    </row>
    <row r="11" spans="1:19" s="474" customFormat="1">
      <c r="A11" s="870" t="s">
        <v>225</v>
      </c>
      <c r="B11" s="875"/>
      <c r="C11" s="718">
        <f>huishoudens!B8</f>
        <v>33885.034053065821</v>
      </c>
      <c r="D11" s="718">
        <f>huishoudens!C8</f>
        <v>0</v>
      </c>
      <c r="E11" s="718">
        <f>huishoudens!D8</f>
        <v>87504.449456225993</v>
      </c>
      <c r="F11" s="718">
        <f>huishoudens!E8</f>
        <v>5251.3080981508701</v>
      </c>
      <c r="G11" s="718">
        <f>huishoudens!F8</f>
        <v>11844.892203668027</v>
      </c>
      <c r="H11" s="718">
        <f>huishoudens!G8</f>
        <v>0</v>
      </c>
      <c r="I11" s="718">
        <f>huishoudens!H8</f>
        <v>0</v>
      </c>
      <c r="J11" s="718">
        <f>huishoudens!I8</f>
        <v>0</v>
      </c>
      <c r="K11" s="718">
        <f>huishoudens!J8</f>
        <v>0</v>
      </c>
      <c r="L11" s="718">
        <f>huishoudens!K8</f>
        <v>0</v>
      </c>
      <c r="M11" s="718">
        <f>huishoudens!L8</f>
        <v>0</v>
      </c>
      <c r="N11" s="718">
        <f>huishoudens!M8</f>
        <v>0</v>
      </c>
      <c r="O11" s="718">
        <f>huishoudens!N8</f>
        <v>9544.9992812117362</v>
      </c>
      <c r="P11" s="718">
        <f>huishoudens!O8</f>
        <v>231.37333333333333</v>
      </c>
      <c r="Q11" s="719">
        <f>huishoudens!P8</f>
        <v>743.6</v>
      </c>
      <c r="R11" s="721">
        <f>SUM(C11:Q11)</f>
        <v>149005.65642565576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2042.5237358500001</v>
      </c>
      <c r="D13" s="718">
        <f>industrie!C18</f>
        <v>0</v>
      </c>
      <c r="E13" s="718">
        <f>industrie!D18</f>
        <v>1734.1698278093199</v>
      </c>
      <c r="F13" s="718">
        <f>industrie!E18</f>
        <v>237.40569973734983</v>
      </c>
      <c r="G13" s="718">
        <f>industrie!F18</f>
        <v>876.30882649250395</v>
      </c>
      <c r="H13" s="718">
        <f>industrie!G18</f>
        <v>0</v>
      </c>
      <c r="I13" s="718">
        <f>industrie!H18</f>
        <v>0</v>
      </c>
      <c r="J13" s="718">
        <f>industrie!I18</f>
        <v>0</v>
      </c>
      <c r="K13" s="718">
        <f>industrie!J18</f>
        <v>9.0467395285007264</v>
      </c>
      <c r="L13" s="718">
        <f>industrie!K18</f>
        <v>0</v>
      </c>
      <c r="M13" s="718">
        <f>industrie!L18</f>
        <v>0</v>
      </c>
      <c r="N13" s="718">
        <f>industrie!M18</f>
        <v>0</v>
      </c>
      <c r="O13" s="718">
        <f>industrie!N18</f>
        <v>530.65504869963718</v>
      </c>
      <c r="P13" s="718">
        <f>industrie!O18</f>
        <v>0</v>
      </c>
      <c r="Q13" s="719">
        <f>industrie!P18</f>
        <v>0</v>
      </c>
      <c r="R13" s="721">
        <f>SUM(C13:Q13)</f>
        <v>5430.1098781173114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64264.524161425827</v>
      </c>
      <c r="D15" s="723">
        <f t="shared" ref="D15:Q15" ca="1" si="0">SUM(D9:D14)</f>
        <v>3381.4285714285716</v>
      </c>
      <c r="E15" s="723">
        <f t="shared" ca="1" si="0"/>
        <v>127422.16267763999</v>
      </c>
      <c r="F15" s="723">
        <f t="shared" si="0"/>
        <v>5999.9549076220928</v>
      </c>
      <c r="G15" s="723">
        <f t="shared" ca="1" si="0"/>
        <v>18778.169098100319</v>
      </c>
      <c r="H15" s="723">
        <f t="shared" si="0"/>
        <v>0</v>
      </c>
      <c r="I15" s="723">
        <f t="shared" si="0"/>
        <v>0</v>
      </c>
      <c r="J15" s="723">
        <f t="shared" si="0"/>
        <v>0</v>
      </c>
      <c r="K15" s="723">
        <f t="shared" si="0"/>
        <v>9.0467395285007264</v>
      </c>
      <c r="L15" s="723">
        <f t="shared" si="0"/>
        <v>0</v>
      </c>
      <c r="M15" s="723">
        <f t="shared" ca="1" si="0"/>
        <v>0</v>
      </c>
      <c r="N15" s="723">
        <f t="shared" si="0"/>
        <v>0</v>
      </c>
      <c r="O15" s="723">
        <f t="shared" ca="1" si="0"/>
        <v>11607.608489970915</v>
      </c>
      <c r="P15" s="723">
        <f t="shared" si="0"/>
        <v>234.5</v>
      </c>
      <c r="Q15" s="724">
        <f t="shared" si="0"/>
        <v>762.66666666666674</v>
      </c>
      <c r="R15" s="725">
        <f ca="1">SUM(R9:R14)</f>
        <v>232460.06131238284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4102.2798292857897</v>
      </c>
      <c r="I18" s="718">
        <f>transport!H54</f>
        <v>0</v>
      </c>
      <c r="J18" s="718">
        <f>transport!I54</f>
        <v>0</v>
      </c>
      <c r="K18" s="718">
        <f>transport!J54</f>
        <v>0</v>
      </c>
      <c r="L18" s="718">
        <f>transport!K54</f>
        <v>0</v>
      </c>
      <c r="M18" s="718">
        <f>transport!L54</f>
        <v>0</v>
      </c>
      <c r="N18" s="718">
        <f>transport!M54</f>
        <v>127.24354275749063</v>
      </c>
      <c r="O18" s="718">
        <f>transport!N54</f>
        <v>0</v>
      </c>
      <c r="P18" s="718">
        <f>transport!O54</f>
        <v>0</v>
      </c>
      <c r="Q18" s="719">
        <f>transport!P54</f>
        <v>0</v>
      </c>
      <c r="R18" s="721">
        <f>SUM(C18:Q18)</f>
        <v>4229.5233720432807</v>
      </c>
      <c r="S18" s="67"/>
    </row>
    <row r="19" spans="1:19" s="474" customFormat="1" ht="15" thickBot="1">
      <c r="A19" s="870" t="s">
        <v>307</v>
      </c>
      <c r="B19" s="875"/>
      <c r="C19" s="727">
        <f>transport!B14</f>
        <v>61.834918312959928</v>
      </c>
      <c r="D19" s="727">
        <f>transport!C14</f>
        <v>0</v>
      </c>
      <c r="E19" s="727">
        <f>transport!D14</f>
        <v>145.09354350454728</v>
      </c>
      <c r="F19" s="727">
        <f>transport!E14</f>
        <v>645.34105201877708</v>
      </c>
      <c r="G19" s="727">
        <f>transport!F14</f>
        <v>0</v>
      </c>
      <c r="H19" s="727">
        <f>transport!G14</f>
        <v>189693.55404597329</v>
      </c>
      <c r="I19" s="727">
        <f>transport!H14</f>
        <v>39969.525646681926</v>
      </c>
      <c r="J19" s="727">
        <f>transport!I14</f>
        <v>0</v>
      </c>
      <c r="K19" s="727">
        <f>transport!J14</f>
        <v>0</v>
      </c>
      <c r="L19" s="727">
        <f>transport!K14</f>
        <v>0</v>
      </c>
      <c r="M19" s="727">
        <f>transport!L14</f>
        <v>0</v>
      </c>
      <c r="N19" s="727">
        <f>transport!M14</f>
        <v>7173.9306888636411</v>
      </c>
      <c r="O19" s="727">
        <f>transport!N14</f>
        <v>0</v>
      </c>
      <c r="P19" s="727">
        <f>transport!O14</f>
        <v>0</v>
      </c>
      <c r="Q19" s="728">
        <f>transport!P14</f>
        <v>0</v>
      </c>
      <c r="R19" s="729">
        <f>SUM(C19:Q19)</f>
        <v>237689.27989535514</v>
      </c>
      <c r="S19" s="67"/>
    </row>
    <row r="20" spans="1:19" s="474" customFormat="1" ht="15.75" thickBot="1">
      <c r="A20" s="730" t="s">
        <v>230</v>
      </c>
      <c r="B20" s="878"/>
      <c r="C20" s="873">
        <f>SUM(C17:C19)</f>
        <v>61.834918312959928</v>
      </c>
      <c r="D20" s="731">
        <f t="shared" ref="D20:R20" si="1">SUM(D17:D19)</f>
        <v>0</v>
      </c>
      <c r="E20" s="731">
        <f t="shared" si="1"/>
        <v>145.09354350454728</v>
      </c>
      <c r="F20" s="731">
        <f t="shared" si="1"/>
        <v>645.34105201877708</v>
      </c>
      <c r="G20" s="731">
        <f t="shared" si="1"/>
        <v>0</v>
      </c>
      <c r="H20" s="731">
        <f t="shared" si="1"/>
        <v>193795.83387525906</v>
      </c>
      <c r="I20" s="731">
        <f t="shared" si="1"/>
        <v>39969.525646681926</v>
      </c>
      <c r="J20" s="731">
        <f t="shared" si="1"/>
        <v>0</v>
      </c>
      <c r="K20" s="731">
        <f t="shared" si="1"/>
        <v>0</v>
      </c>
      <c r="L20" s="731">
        <f t="shared" si="1"/>
        <v>0</v>
      </c>
      <c r="M20" s="731">
        <f t="shared" si="1"/>
        <v>0</v>
      </c>
      <c r="N20" s="731">
        <f t="shared" si="1"/>
        <v>7301.1742316211321</v>
      </c>
      <c r="O20" s="731">
        <f t="shared" si="1"/>
        <v>0</v>
      </c>
      <c r="P20" s="731">
        <f t="shared" si="1"/>
        <v>0</v>
      </c>
      <c r="Q20" s="732">
        <f t="shared" si="1"/>
        <v>0</v>
      </c>
      <c r="R20" s="733">
        <f t="shared" si="1"/>
        <v>241918.80326739841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319.57103103000003</v>
      </c>
      <c r="D22" s="727">
        <f>+landbouw!C8</f>
        <v>0</v>
      </c>
      <c r="E22" s="727">
        <f>+landbouw!D8</f>
        <v>2364.22427357578</v>
      </c>
      <c r="F22" s="727">
        <f>+landbouw!E8</f>
        <v>8.2405098793651117</v>
      </c>
      <c r="G22" s="727">
        <f>+landbouw!F8</f>
        <v>1168.0929777611368</v>
      </c>
      <c r="H22" s="727">
        <f>+landbouw!G8</f>
        <v>0</v>
      </c>
      <c r="I22" s="727">
        <f>+landbouw!H8</f>
        <v>0</v>
      </c>
      <c r="J22" s="727">
        <f>+landbouw!I8</f>
        <v>0</v>
      </c>
      <c r="K22" s="727">
        <f>+landbouw!J8</f>
        <v>46.006472518390694</v>
      </c>
      <c r="L22" s="727">
        <f>+landbouw!K8</f>
        <v>0</v>
      </c>
      <c r="M22" s="727">
        <f>+landbouw!L8</f>
        <v>0</v>
      </c>
      <c r="N22" s="727">
        <f>+landbouw!M8</f>
        <v>0</v>
      </c>
      <c r="O22" s="727">
        <f>+landbouw!N8</f>
        <v>0</v>
      </c>
      <c r="P22" s="727">
        <f>+landbouw!O8</f>
        <v>0</v>
      </c>
      <c r="Q22" s="728">
        <f>+landbouw!P8</f>
        <v>0</v>
      </c>
      <c r="R22" s="729">
        <f>SUM(C22:Q22)</f>
        <v>3906.1352647646727</v>
      </c>
      <c r="S22" s="67"/>
    </row>
    <row r="23" spans="1:19" s="474" customFormat="1" ht="17.25" thickTop="1" thickBot="1">
      <c r="A23" s="734" t="s">
        <v>116</v>
      </c>
      <c r="B23" s="864"/>
      <c r="C23" s="735">
        <f ca="1">C20+C15+C22</f>
        <v>64645.930110768786</v>
      </c>
      <c r="D23" s="735">
        <f t="shared" ref="D23:Q23" ca="1" si="2">D20+D15+D22</f>
        <v>3381.4285714285716</v>
      </c>
      <c r="E23" s="735">
        <f t="shared" ca="1" si="2"/>
        <v>129931.48049472032</v>
      </c>
      <c r="F23" s="735">
        <f t="shared" si="2"/>
        <v>6653.5364695202352</v>
      </c>
      <c r="G23" s="735">
        <f t="shared" ca="1" si="2"/>
        <v>19946.262075861458</v>
      </c>
      <c r="H23" s="735">
        <f t="shared" si="2"/>
        <v>193795.83387525906</v>
      </c>
      <c r="I23" s="735">
        <f t="shared" si="2"/>
        <v>39969.525646681926</v>
      </c>
      <c r="J23" s="735">
        <f t="shared" si="2"/>
        <v>0</v>
      </c>
      <c r="K23" s="735">
        <f t="shared" si="2"/>
        <v>55.053212046891417</v>
      </c>
      <c r="L23" s="735">
        <f t="shared" si="2"/>
        <v>0</v>
      </c>
      <c r="M23" s="735">
        <f t="shared" ca="1" si="2"/>
        <v>0</v>
      </c>
      <c r="N23" s="735">
        <f t="shared" si="2"/>
        <v>7301.1742316211321</v>
      </c>
      <c r="O23" s="735">
        <f t="shared" ca="1" si="2"/>
        <v>11607.608489970915</v>
      </c>
      <c r="P23" s="735">
        <f t="shared" si="2"/>
        <v>234.5</v>
      </c>
      <c r="Q23" s="736">
        <f t="shared" si="2"/>
        <v>762.66666666666674</v>
      </c>
      <c r="R23" s="737">
        <f ca="1">R20+R15+R22</f>
        <v>478284.99984454591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5879.9623211790167</v>
      </c>
      <c r="D36" s="718">
        <f ca="1">tertiair!C20</f>
        <v>803.5865546218489</v>
      </c>
      <c r="E36" s="718">
        <f ca="1">tertiair!D20</f>
        <v>7713.0757655081452</v>
      </c>
      <c r="F36" s="718">
        <f>tertiair!E20</f>
        <v>116.05173190958911</v>
      </c>
      <c r="G36" s="718">
        <f ca="1">tertiair!F20</f>
        <v>1617.2104741399244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16129.886847358524</v>
      </c>
    </row>
    <row r="37" spans="1:18">
      <c r="A37" s="885" t="s">
        <v>225</v>
      </c>
      <c r="B37" s="892"/>
      <c r="C37" s="718">
        <f ca="1">huishoudens!B12</f>
        <v>7031.1945486579143</v>
      </c>
      <c r="D37" s="718">
        <f ca="1">huishoudens!C12</f>
        <v>0</v>
      </c>
      <c r="E37" s="718">
        <f>huishoudens!D12</f>
        <v>17675.898790157651</v>
      </c>
      <c r="F37" s="718">
        <f>huishoudens!E12</f>
        <v>1192.0469382802476</v>
      </c>
      <c r="G37" s="718">
        <f>huishoudens!F12</f>
        <v>3162.5862183793633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29061.726495475174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423.82668804529476</v>
      </c>
      <c r="D39" s="718">
        <f ca="1">industrie!C22</f>
        <v>0</v>
      </c>
      <c r="E39" s="718">
        <f>industrie!D22</f>
        <v>350.30230521748263</v>
      </c>
      <c r="F39" s="718">
        <f>industrie!E22</f>
        <v>53.891093840378417</v>
      </c>
      <c r="G39" s="718">
        <f>industrie!F22</f>
        <v>233.97445667349857</v>
      </c>
      <c r="H39" s="718">
        <f>industrie!G22</f>
        <v>0</v>
      </c>
      <c r="I39" s="718">
        <f>industrie!H22</f>
        <v>0</v>
      </c>
      <c r="J39" s="718">
        <f>industrie!I22</f>
        <v>0</v>
      </c>
      <c r="K39" s="718">
        <f>industrie!J22</f>
        <v>3.2025457930892571</v>
      </c>
      <c r="L39" s="718">
        <f>industrie!K22</f>
        <v>0</v>
      </c>
      <c r="M39" s="718">
        <f>industrie!L22</f>
        <v>0</v>
      </c>
      <c r="N39" s="718">
        <f>industrie!M22</f>
        <v>0</v>
      </c>
      <c r="O39" s="718">
        <f>industrie!N22</f>
        <v>0</v>
      </c>
      <c r="P39" s="718">
        <f>industrie!O22</f>
        <v>0</v>
      </c>
      <c r="Q39" s="828">
        <f>industrie!P22</f>
        <v>0</v>
      </c>
      <c r="R39" s="918">
        <f ca="1">SUM(C39:Q39)</f>
        <v>1065.1970895697436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13334.983557882224</v>
      </c>
      <c r="D41" s="763">
        <f t="shared" ref="D41:R41" ca="1" si="4">SUM(D35:D40)</f>
        <v>803.5865546218489</v>
      </c>
      <c r="E41" s="763">
        <f t="shared" ca="1" si="4"/>
        <v>25739.276860883278</v>
      </c>
      <c r="F41" s="763">
        <f t="shared" si="4"/>
        <v>1361.9897640302152</v>
      </c>
      <c r="G41" s="763">
        <f t="shared" ca="1" si="4"/>
        <v>5013.7711491927867</v>
      </c>
      <c r="H41" s="763">
        <f t="shared" si="4"/>
        <v>0</v>
      </c>
      <c r="I41" s="763">
        <f t="shared" si="4"/>
        <v>0</v>
      </c>
      <c r="J41" s="763">
        <f t="shared" si="4"/>
        <v>0</v>
      </c>
      <c r="K41" s="763">
        <f t="shared" si="4"/>
        <v>3.2025457930892571</v>
      </c>
      <c r="L41" s="763">
        <f t="shared" si="4"/>
        <v>0</v>
      </c>
      <c r="M41" s="763">
        <f t="shared" ca="1" si="4"/>
        <v>0</v>
      </c>
      <c r="N41" s="763">
        <f t="shared" si="4"/>
        <v>0</v>
      </c>
      <c r="O41" s="763">
        <f t="shared" ca="1" si="4"/>
        <v>0</v>
      </c>
      <c r="P41" s="763">
        <f t="shared" si="4"/>
        <v>0</v>
      </c>
      <c r="Q41" s="764">
        <f t="shared" si="4"/>
        <v>0</v>
      </c>
      <c r="R41" s="765">
        <f t="shared" ca="1" si="4"/>
        <v>46256.810432403443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1095.3087144193059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1095.3087144193059</v>
      </c>
    </row>
    <row r="45" spans="1:18" ht="15" thickBot="1">
      <c r="A45" s="888" t="s">
        <v>307</v>
      </c>
      <c r="B45" s="898"/>
      <c r="C45" s="727">
        <f ca="1">transport!B18</f>
        <v>12.83083676049764</v>
      </c>
      <c r="D45" s="727">
        <f>transport!C18</f>
        <v>0</v>
      </c>
      <c r="E45" s="727">
        <f>transport!D18</f>
        <v>29.308895787918555</v>
      </c>
      <c r="F45" s="727">
        <f>transport!E18</f>
        <v>146.49241880826241</v>
      </c>
      <c r="G45" s="727">
        <f>transport!F18</f>
        <v>0</v>
      </c>
      <c r="H45" s="727">
        <f>transport!G18</f>
        <v>50648.178930274873</v>
      </c>
      <c r="I45" s="727">
        <f>transport!H18</f>
        <v>9952.4118860237995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60789.222967655354</v>
      </c>
    </row>
    <row r="46" spans="1:18" ht="15.75" thickBot="1">
      <c r="A46" s="886" t="s">
        <v>230</v>
      </c>
      <c r="B46" s="899"/>
      <c r="C46" s="763">
        <f t="shared" ref="C46:R46" ca="1" si="5">SUM(C43:C45)</f>
        <v>12.83083676049764</v>
      </c>
      <c r="D46" s="763">
        <f t="shared" ca="1" si="5"/>
        <v>0</v>
      </c>
      <c r="E46" s="763">
        <f t="shared" si="5"/>
        <v>29.308895787918555</v>
      </c>
      <c r="F46" s="763">
        <f t="shared" si="5"/>
        <v>146.49241880826241</v>
      </c>
      <c r="G46" s="763">
        <f t="shared" si="5"/>
        <v>0</v>
      </c>
      <c r="H46" s="763">
        <f t="shared" si="5"/>
        <v>51743.487644694178</v>
      </c>
      <c r="I46" s="763">
        <f t="shared" si="5"/>
        <v>9952.4118860237995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61884.531682074659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66.311460326947085</v>
      </c>
      <c r="D48" s="718">
        <f ca="1">+landbouw!C12</f>
        <v>0</v>
      </c>
      <c r="E48" s="718">
        <f>+landbouw!D12</f>
        <v>477.5733032623076</v>
      </c>
      <c r="F48" s="718">
        <f>+landbouw!E12</f>
        <v>1.8705957426158804</v>
      </c>
      <c r="G48" s="718">
        <f>+landbouw!F12</f>
        <v>311.88082506222355</v>
      </c>
      <c r="H48" s="718">
        <f>+landbouw!G12</f>
        <v>0</v>
      </c>
      <c r="I48" s="718">
        <f>+landbouw!H12</f>
        <v>0</v>
      </c>
      <c r="J48" s="718">
        <f>+landbouw!I12</f>
        <v>0</v>
      </c>
      <c r="K48" s="718">
        <f>+landbouw!J12</f>
        <v>16.286291271510304</v>
      </c>
      <c r="L48" s="718">
        <f>+landbouw!K12</f>
        <v>0</v>
      </c>
      <c r="M48" s="718">
        <f>+landbouw!L12</f>
        <v>0</v>
      </c>
      <c r="N48" s="718">
        <f>+landbouw!M12</f>
        <v>0</v>
      </c>
      <c r="O48" s="718">
        <f>+landbouw!N12</f>
        <v>0</v>
      </c>
      <c r="P48" s="718">
        <f>+landbouw!O12</f>
        <v>0</v>
      </c>
      <c r="Q48" s="719">
        <f>+landbouw!P12</f>
        <v>0</v>
      </c>
      <c r="R48" s="761">
        <f ca="1">SUM(C48:Q48)</f>
        <v>873.92247566560457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13414.125854969669</v>
      </c>
      <c r="D53" s="773">
        <f t="shared" ref="D53:Q53" ca="1" si="6">D41+D46+D48</f>
        <v>803.5865546218489</v>
      </c>
      <c r="E53" s="773">
        <f t="shared" ca="1" si="6"/>
        <v>26246.159059933503</v>
      </c>
      <c r="F53" s="773">
        <f t="shared" si="6"/>
        <v>1510.3527785810934</v>
      </c>
      <c r="G53" s="773">
        <f t="shared" ca="1" si="6"/>
        <v>5325.6519742550099</v>
      </c>
      <c r="H53" s="773">
        <f t="shared" si="6"/>
        <v>51743.487644694178</v>
      </c>
      <c r="I53" s="773">
        <f t="shared" si="6"/>
        <v>9952.4118860237995</v>
      </c>
      <c r="J53" s="773">
        <f t="shared" si="6"/>
        <v>0</v>
      </c>
      <c r="K53" s="773">
        <f t="shared" si="6"/>
        <v>19.488837064599561</v>
      </c>
      <c r="L53" s="773">
        <f t="shared" si="6"/>
        <v>0</v>
      </c>
      <c r="M53" s="773">
        <f t="shared" ca="1" si="6"/>
        <v>0</v>
      </c>
      <c r="N53" s="773">
        <f t="shared" si="6"/>
        <v>0</v>
      </c>
      <c r="O53" s="773">
        <f t="shared" ca="1" si="6"/>
        <v>0</v>
      </c>
      <c r="P53" s="773">
        <f>P41+P46+P48</f>
        <v>0</v>
      </c>
      <c r="Q53" s="774">
        <f t="shared" si="6"/>
        <v>0</v>
      </c>
      <c r="R53" s="775">
        <f ca="1">R41+R46+R48</f>
        <v>109015.26459014371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0.20750147506556069</v>
      </c>
      <c r="D55" s="836">
        <f t="shared" ca="1" si="7"/>
        <v>0.23764705882352946</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4126.8248314277143</v>
      </c>
      <c r="C66" s="795">
        <f>'lokale energieproductie'!B6</f>
        <v>4126.8248314277143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2367</v>
      </c>
      <c r="C67" s="794">
        <f>B67*IFERROR(SUM(J67:L67)/SUM(D67:M67),0)</f>
        <v>0</v>
      </c>
      <c r="D67" s="826">
        <f>'lokale energieproductie'!C7</f>
        <v>2784.705882352941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562.51058823529411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6493.8248314277143</v>
      </c>
      <c r="C69" s="803">
        <f>SUM(C64:C68)</f>
        <v>4126.8248314277143</v>
      </c>
      <c r="D69" s="804">
        <f t="shared" ref="D69:M69" si="8">SUM(D67:D68)</f>
        <v>2784.705882352941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562.51058823529411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3381.4285714285716</v>
      </c>
      <c r="C78" s="817">
        <f>B78*IFERROR(SUM(I78:L78)/SUM(D78:M78),0)</f>
        <v>0</v>
      </c>
      <c r="D78" s="832">
        <f>'lokale energieproductie'!C16</f>
        <v>3978.1512605042021</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803.5865546218489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3381.4285714285716</v>
      </c>
      <c r="C81" s="803">
        <f>SUM(C78:C80)</f>
        <v>0</v>
      </c>
      <c r="D81" s="803">
        <f t="shared" ref="D81:P81" si="9">SUM(D78:D80)</f>
        <v>3978.1512605042021</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803.5865546218489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33885.034053065821</v>
      </c>
      <c r="C4" s="478">
        <f>huishoudens!C8</f>
        <v>0</v>
      </c>
      <c r="D4" s="478">
        <f>huishoudens!D8</f>
        <v>87504.449456225993</v>
      </c>
      <c r="E4" s="478">
        <f>huishoudens!E8</f>
        <v>5251.3080981508701</v>
      </c>
      <c r="F4" s="478">
        <f>huishoudens!F8</f>
        <v>11844.892203668027</v>
      </c>
      <c r="G4" s="478">
        <f>huishoudens!G8</f>
        <v>0</v>
      </c>
      <c r="H4" s="478">
        <f>huishoudens!H8</f>
        <v>0</v>
      </c>
      <c r="I4" s="478">
        <f>huishoudens!I8</f>
        <v>0</v>
      </c>
      <c r="J4" s="478">
        <f>huishoudens!J8</f>
        <v>0</v>
      </c>
      <c r="K4" s="478">
        <f>huishoudens!K8</f>
        <v>0</v>
      </c>
      <c r="L4" s="478">
        <f>huishoudens!L8</f>
        <v>0</v>
      </c>
      <c r="M4" s="478">
        <f>huishoudens!M8</f>
        <v>0</v>
      </c>
      <c r="N4" s="478">
        <f>huishoudens!N8</f>
        <v>9544.9992812117362</v>
      </c>
      <c r="O4" s="478">
        <f>huishoudens!O8</f>
        <v>231.37333333333333</v>
      </c>
      <c r="P4" s="479">
        <f>huishoudens!P8</f>
        <v>743.6</v>
      </c>
      <c r="Q4" s="480">
        <f>SUM(B4:P4)</f>
        <v>149005.65642565576</v>
      </c>
    </row>
    <row r="5" spans="1:17">
      <c r="A5" s="477" t="s">
        <v>156</v>
      </c>
      <c r="B5" s="478">
        <f ca="1">tertiair!B16</f>
        <v>26988.237372510001</v>
      </c>
      <c r="C5" s="478">
        <f ca="1">tertiair!C16</f>
        <v>3381.4285714285716</v>
      </c>
      <c r="D5" s="478">
        <f ca="1">tertiair!D16</f>
        <v>38183.543393604676</v>
      </c>
      <c r="E5" s="478">
        <f>tertiair!E16</f>
        <v>511.24110973387269</v>
      </c>
      <c r="F5" s="478">
        <f ca="1">tertiair!F16</f>
        <v>6056.9680679397916</v>
      </c>
      <c r="G5" s="478">
        <f>tertiair!G16</f>
        <v>0</v>
      </c>
      <c r="H5" s="478">
        <f>tertiair!H16</f>
        <v>0</v>
      </c>
      <c r="I5" s="478">
        <f>tertiair!I16</f>
        <v>0</v>
      </c>
      <c r="J5" s="478">
        <f>tertiair!J16</f>
        <v>0</v>
      </c>
      <c r="K5" s="478">
        <f>tertiair!K16</f>
        <v>0</v>
      </c>
      <c r="L5" s="478">
        <f ca="1">tertiair!L16</f>
        <v>0</v>
      </c>
      <c r="M5" s="478">
        <f>tertiair!M16</f>
        <v>0</v>
      </c>
      <c r="N5" s="478">
        <f ca="1">tertiair!N16</f>
        <v>1531.9541600595412</v>
      </c>
      <c r="O5" s="478">
        <f>tertiair!O16</f>
        <v>3.1266666666666669</v>
      </c>
      <c r="P5" s="479">
        <f>tertiair!P16</f>
        <v>19.066666666666666</v>
      </c>
      <c r="Q5" s="477">
        <f t="shared" ref="Q5:Q13" ca="1" si="0">SUM(B5:P5)</f>
        <v>76675.566008609778</v>
      </c>
    </row>
    <row r="6" spans="1:17">
      <c r="A6" s="477" t="s">
        <v>194</v>
      </c>
      <c r="B6" s="478">
        <f>'openbare verlichting'!B8</f>
        <v>1348.729</v>
      </c>
      <c r="C6" s="478"/>
      <c r="D6" s="478"/>
      <c r="E6" s="478"/>
      <c r="F6" s="478"/>
      <c r="G6" s="478"/>
      <c r="H6" s="478"/>
      <c r="I6" s="478"/>
      <c r="J6" s="478"/>
      <c r="K6" s="478"/>
      <c r="L6" s="478"/>
      <c r="M6" s="478"/>
      <c r="N6" s="478"/>
      <c r="O6" s="478"/>
      <c r="P6" s="479"/>
      <c r="Q6" s="477">
        <f t="shared" si="0"/>
        <v>1348.729</v>
      </c>
    </row>
    <row r="7" spans="1:17">
      <c r="A7" s="477" t="s">
        <v>112</v>
      </c>
      <c r="B7" s="478">
        <f>landbouw!B8</f>
        <v>319.57103103000003</v>
      </c>
      <c r="C7" s="478">
        <f>landbouw!C8</f>
        <v>0</v>
      </c>
      <c r="D7" s="478">
        <f>landbouw!D8</f>
        <v>2364.22427357578</v>
      </c>
      <c r="E7" s="478">
        <f>landbouw!E8</f>
        <v>8.2405098793651117</v>
      </c>
      <c r="F7" s="478">
        <f>landbouw!F8</f>
        <v>1168.0929777611368</v>
      </c>
      <c r="G7" s="478">
        <f>landbouw!G8</f>
        <v>0</v>
      </c>
      <c r="H7" s="478">
        <f>landbouw!H8</f>
        <v>0</v>
      </c>
      <c r="I7" s="478">
        <f>landbouw!I8</f>
        <v>0</v>
      </c>
      <c r="J7" s="478">
        <f>landbouw!J8</f>
        <v>46.006472518390694</v>
      </c>
      <c r="K7" s="478">
        <f>landbouw!K8</f>
        <v>0</v>
      </c>
      <c r="L7" s="478">
        <f>landbouw!L8</f>
        <v>0</v>
      </c>
      <c r="M7" s="478">
        <f>landbouw!M8</f>
        <v>0</v>
      </c>
      <c r="N7" s="478">
        <f>landbouw!N8</f>
        <v>0</v>
      </c>
      <c r="O7" s="478">
        <f>landbouw!O8</f>
        <v>0</v>
      </c>
      <c r="P7" s="479">
        <f>landbouw!P8</f>
        <v>0</v>
      </c>
      <c r="Q7" s="477">
        <f t="shared" si="0"/>
        <v>3906.1352647646727</v>
      </c>
    </row>
    <row r="8" spans="1:17">
      <c r="A8" s="477" t="s">
        <v>638</v>
      </c>
      <c r="B8" s="478">
        <f>industrie!B18</f>
        <v>2042.5237358500001</v>
      </c>
      <c r="C8" s="478">
        <f>industrie!C18</f>
        <v>0</v>
      </c>
      <c r="D8" s="478">
        <f>industrie!D18</f>
        <v>1734.1698278093199</v>
      </c>
      <c r="E8" s="478">
        <f>industrie!E18</f>
        <v>237.40569973734983</v>
      </c>
      <c r="F8" s="478">
        <f>industrie!F18</f>
        <v>876.30882649250395</v>
      </c>
      <c r="G8" s="478">
        <f>industrie!G18</f>
        <v>0</v>
      </c>
      <c r="H8" s="478">
        <f>industrie!H18</f>
        <v>0</v>
      </c>
      <c r="I8" s="478">
        <f>industrie!I18</f>
        <v>0</v>
      </c>
      <c r="J8" s="478">
        <f>industrie!J18</f>
        <v>9.0467395285007264</v>
      </c>
      <c r="K8" s="478">
        <f>industrie!K18</f>
        <v>0</v>
      </c>
      <c r="L8" s="478">
        <f>industrie!L18</f>
        <v>0</v>
      </c>
      <c r="M8" s="478">
        <f>industrie!M18</f>
        <v>0</v>
      </c>
      <c r="N8" s="478">
        <f>industrie!N18</f>
        <v>530.65504869963718</v>
      </c>
      <c r="O8" s="478">
        <f>industrie!O18</f>
        <v>0</v>
      </c>
      <c r="P8" s="479">
        <f>industrie!P18</f>
        <v>0</v>
      </c>
      <c r="Q8" s="477">
        <f t="shared" si="0"/>
        <v>5430.1098781173114</v>
      </c>
    </row>
    <row r="9" spans="1:17" s="483" customFormat="1">
      <c r="A9" s="481" t="s">
        <v>564</v>
      </c>
      <c r="B9" s="482">
        <f>transport!B14</f>
        <v>61.834918312959928</v>
      </c>
      <c r="C9" s="482">
        <f>transport!C14</f>
        <v>0</v>
      </c>
      <c r="D9" s="482">
        <f>transport!D14</f>
        <v>145.09354350454728</v>
      </c>
      <c r="E9" s="482">
        <f>transport!E14</f>
        <v>645.34105201877708</v>
      </c>
      <c r="F9" s="482">
        <f>transport!F14</f>
        <v>0</v>
      </c>
      <c r="G9" s="482">
        <f>transport!G14</f>
        <v>189693.55404597329</v>
      </c>
      <c r="H9" s="482">
        <f>transport!H14</f>
        <v>39969.525646681926</v>
      </c>
      <c r="I9" s="482">
        <f>transport!I14</f>
        <v>0</v>
      </c>
      <c r="J9" s="482">
        <f>transport!J14</f>
        <v>0</v>
      </c>
      <c r="K9" s="482">
        <f>transport!K14</f>
        <v>0</v>
      </c>
      <c r="L9" s="482">
        <f>transport!L14</f>
        <v>0</v>
      </c>
      <c r="M9" s="482">
        <f>transport!M14</f>
        <v>7173.9306888636411</v>
      </c>
      <c r="N9" s="482">
        <f>transport!N14</f>
        <v>0</v>
      </c>
      <c r="O9" s="482">
        <f>transport!O14</f>
        <v>0</v>
      </c>
      <c r="P9" s="482">
        <f>transport!P14</f>
        <v>0</v>
      </c>
      <c r="Q9" s="481">
        <f>SUM(B9:P9)</f>
        <v>237689.27989535514</v>
      </c>
    </row>
    <row r="10" spans="1:17">
      <c r="A10" s="477" t="s">
        <v>554</v>
      </c>
      <c r="B10" s="478">
        <f>transport!B54</f>
        <v>0</v>
      </c>
      <c r="C10" s="478">
        <f>transport!C54</f>
        <v>0</v>
      </c>
      <c r="D10" s="478">
        <f>transport!D54</f>
        <v>0</v>
      </c>
      <c r="E10" s="478">
        <f>transport!E54</f>
        <v>0</v>
      </c>
      <c r="F10" s="478">
        <f>transport!F54</f>
        <v>0</v>
      </c>
      <c r="G10" s="478">
        <f>transport!G54</f>
        <v>4102.2798292857897</v>
      </c>
      <c r="H10" s="478">
        <f>transport!H54</f>
        <v>0</v>
      </c>
      <c r="I10" s="478">
        <f>transport!I54</f>
        <v>0</v>
      </c>
      <c r="J10" s="478">
        <f>transport!J54</f>
        <v>0</v>
      </c>
      <c r="K10" s="478">
        <f>transport!K54</f>
        <v>0</v>
      </c>
      <c r="L10" s="478">
        <f>transport!L54</f>
        <v>0</v>
      </c>
      <c r="M10" s="478">
        <f>transport!M54</f>
        <v>127.24354275749063</v>
      </c>
      <c r="N10" s="478">
        <f>transport!N54</f>
        <v>0</v>
      </c>
      <c r="O10" s="478">
        <f>transport!O54</f>
        <v>0</v>
      </c>
      <c r="P10" s="479">
        <f>transport!P54</f>
        <v>0</v>
      </c>
      <c r="Q10" s="477">
        <f t="shared" si="0"/>
        <v>4229.5233720432807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64645.930110768779</v>
      </c>
      <c r="C14" s="488">
        <f t="shared" ref="C14:Q14" ca="1" si="1">SUM(C4:C13)</f>
        <v>3381.4285714285716</v>
      </c>
      <c r="D14" s="488">
        <f t="shared" ca="1" si="1"/>
        <v>129931.48049472032</v>
      </c>
      <c r="E14" s="488">
        <f t="shared" si="1"/>
        <v>6653.5364695202352</v>
      </c>
      <c r="F14" s="488">
        <f t="shared" ca="1" si="1"/>
        <v>19946.262075861458</v>
      </c>
      <c r="G14" s="488">
        <f t="shared" si="1"/>
        <v>193795.83387525906</v>
      </c>
      <c r="H14" s="488">
        <f t="shared" si="1"/>
        <v>39969.525646681926</v>
      </c>
      <c r="I14" s="488">
        <f t="shared" si="1"/>
        <v>0</v>
      </c>
      <c r="J14" s="488">
        <f t="shared" si="1"/>
        <v>55.053212046891417</v>
      </c>
      <c r="K14" s="488">
        <f t="shared" si="1"/>
        <v>0</v>
      </c>
      <c r="L14" s="488">
        <f t="shared" ca="1" si="1"/>
        <v>0</v>
      </c>
      <c r="M14" s="488">
        <f t="shared" si="1"/>
        <v>7301.1742316211321</v>
      </c>
      <c r="N14" s="488">
        <f t="shared" ca="1" si="1"/>
        <v>11607.608489970915</v>
      </c>
      <c r="O14" s="488">
        <f t="shared" si="1"/>
        <v>234.5</v>
      </c>
      <c r="P14" s="489">
        <f t="shared" si="1"/>
        <v>762.66666666666674</v>
      </c>
      <c r="Q14" s="489">
        <f t="shared" ca="1" si="1"/>
        <v>478284.99984454596</v>
      </c>
    </row>
    <row r="16" spans="1:17">
      <c r="A16" s="491" t="s">
        <v>559</v>
      </c>
      <c r="B16" s="841">
        <f ca="1">huishoudens!B10</f>
        <v>0.20750147506556074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7031.1945486579143</v>
      </c>
      <c r="C21" s="478">
        <f t="shared" ref="C21:C30" ca="1" si="3">C4*$C$16</f>
        <v>0</v>
      </c>
      <c r="D21" s="478">
        <f t="shared" ref="D21:D30" si="4">D4*$D$16</f>
        <v>17675.898790157651</v>
      </c>
      <c r="E21" s="478">
        <f t="shared" ref="E21:E30" si="5">E4*$E$16</f>
        <v>1192.0469382802476</v>
      </c>
      <c r="F21" s="478">
        <f t="shared" ref="F21:F30" si="6">F4*$F$16</f>
        <v>3162.5862183793633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29061.726495475174</v>
      </c>
    </row>
    <row r="22" spans="1:17">
      <c r="A22" s="477" t="s">
        <v>156</v>
      </c>
      <c r="B22" s="478">
        <f t="shared" ca="1" si="2"/>
        <v>5600.0990642153183</v>
      </c>
      <c r="C22" s="478">
        <f t="shared" ca="1" si="3"/>
        <v>803.5865546218489</v>
      </c>
      <c r="D22" s="478">
        <f t="shared" ca="1" si="4"/>
        <v>7713.0757655081452</v>
      </c>
      <c r="E22" s="478">
        <f t="shared" si="5"/>
        <v>116.05173190958911</v>
      </c>
      <c r="F22" s="478">
        <f t="shared" ca="1" si="6"/>
        <v>1617.2104741399244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15850.023590394827</v>
      </c>
    </row>
    <row r="23" spans="1:17">
      <c r="A23" s="477" t="s">
        <v>194</v>
      </c>
      <c r="B23" s="478">
        <f t="shared" ca="1" si="2"/>
        <v>279.86325696369869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279.86325696369869</v>
      </c>
    </row>
    <row r="24" spans="1:17">
      <c r="A24" s="477" t="s">
        <v>112</v>
      </c>
      <c r="B24" s="478">
        <f t="shared" ca="1" si="2"/>
        <v>66.311460326947085</v>
      </c>
      <c r="C24" s="478">
        <f t="shared" ca="1" si="3"/>
        <v>0</v>
      </c>
      <c r="D24" s="478">
        <f t="shared" si="4"/>
        <v>477.5733032623076</v>
      </c>
      <c r="E24" s="478">
        <f t="shared" si="5"/>
        <v>1.8705957426158804</v>
      </c>
      <c r="F24" s="478">
        <f t="shared" si="6"/>
        <v>311.88082506222355</v>
      </c>
      <c r="G24" s="478">
        <f t="shared" si="7"/>
        <v>0</v>
      </c>
      <c r="H24" s="478">
        <f t="shared" si="8"/>
        <v>0</v>
      </c>
      <c r="I24" s="478">
        <f t="shared" si="9"/>
        <v>0</v>
      </c>
      <c r="J24" s="478">
        <f t="shared" si="10"/>
        <v>16.286291271510304</v>
      </c>
      <c r="K24" s="478">
        <f t="shared" si="11"/>
        <v>0</v>
      </c>
      <c r="L24" s="478">
        <f t="shared" si="12"/>
        <v>0</v>
      </c>
      <c r="M24" s="478">
        <f t="shared" si="13"/>
        <v>0</v>
      </c>
      <c r="N24" s="478">
        <f t="shared" si="14"/>
        <v>0</v>
      </c>
      <c r="O24" s="478">
        <f t="shared" si="15"/>
        <v>0</v>
      </c>
      <c r="P24" s="479">
        <f t="shared" si="16"/>
        <v>0</v>
      </c>
      <c r="Q24" s="477">
        <f t="shared" ca="1" si="17"/>
        <v>873.92247566560457</v>
      </c>
    </row>
    <row r="25" spans="1:17">
      <c r="A25" s="477" t="s">
        <v>638</v>
      </c>
      <c r="B25" s="478">
        <f t="shared" ca="1" si="2"/>
        <v>423.82668804529476</v>
      </c>
      <c r="C25" s="478">
        <f t="shared" ca="1" si="3"/>
        <v>0</v>
      </c>
      <c r="D25" s="478">
        <f t="shared" si="4"/>
        <v>350.30230521748263</v>
      </c>
      <c r="E25" s="478">
        <f t="shared" si="5"/>
        <v>53.891093840378417</v>
      </c>
      <c r="F25" s="478">
        <f t="shared" si="6"/>
        <v>233.97445667349857</v>
      </c>
      <c r="G25" s="478">
        <f t="shared" si="7"/>
        <v>0</v>
      </c>
      <c r="H25" s="478">
        <f t="shared" si="8"/>
        <v>0</v>
      </c>
      <c r="I25" s="478">
        <f t="shared" si="9"/>
        <v>0</v>
      </c>
      <c r="J25" s="478">
        <f t="shared" si="10"/>
        <v>3.2025457930892571</v>
      </c>
      <c r="K25" s="478">
        <f t="shared" si="11"/>
        <v>0</v>
      </c>
      <c r="L25" s="478">
        <f t="shared" si="12"/>
        <v>0</v>
      </c>
      <c r="M25" s="478">
        <f t="shared" si="13"/>
        <v>0</v>
      </c>
      <c r="N25" s="478">
        <f t="shared" si="14"/>
        <v>0</v>
      </c>
      <c r="O25" s="478">
        <f t="shared" si="15"/>
        <v>0</v>
      </c>
      <c r="P25" s="479">
        <f t="shared" si="16"/>
        <v>0</v>
      </c>
      <c r="Q25" s="477">
        <f t="shared" ca="1" si="17"/>
        <v>1065.1970895697436</v>
      </c>
    </row>
    <row r="26" spans="1:17" s="483" customFormat="1">
      <c r="A26" s="481" t="s">
        <v>564</v>
      </c>
      <c r="B26" s="835">
        <f t="shared" ca="1" si="2"/>
        <v>12.83083676049764</v>
      </c>
      <c r="C26" s="482">
        <f t="shared" ca="1" si="3"/>
        <v>0</v>
      </c>
      <c r="D26" s="482">
        <f t="shared" si="4"/>
        <v>29.308895787918555</v>
      </c>
      <c r="E26" s="482">
        <f t="shared" si="5"/>
        <v>146.49241880826241</v>
      </c>
      <c r="F26" s="482">
        <f t="shared" si="6"/>
        <v>0</v>
      </c>
      <c r="G26" s="482">
        <f t="shared" si="7"/>
        <v>50648.178930274873</v>
      </c>
      <c r="H26" s="482">
        <f t="shared" si="8"/>
        <v>9952.4118860237995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60789.222967655354</v>
      </c>
    </row>
    <row r="27" spans="1:17">
      <c r="A27" s="477" t="s">
        <v>554</v>
      </c>
      <c r="B27" s="478">
        <f t="shared" ca="1" si="2"/>
        <v>0</v>
      </c>
      <c r="C27" s="478">
        <f t="shared" ca="1" si="3"/>
        <v>0</v>
      </c>
      <c r="D27" s="478">
        <f t="shared" si="4"/>
        <v>0</v>
      </c>
      <c r="E27" s="478">
        <f t="shared" si="5"/>
        <v>0</v>
      </c>
      <c r="F27" s="478">
        <f t="shared" si="6"/>
        <v>0</v>
      </c>
      <c r="G27" s="478">
        <f t="shared" si="7"/>
        <v>1095.3087144193059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1095.3087144193059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13414.12585496967</v>
      </c>
      <c r="C31" s="488">
        <f t="shared" ca="1" si="18"/>
        <v>803.5865546218489</v>
      </c>
      <c r="D31" s="488">
        <f t="shared" ca="1" si="18"/>
        <v>26246.159059933503</v>
      </c>
      <c r="E31" s="488">
        <f t="shared" si="18"/>
        <v>1510.3527785810934</v>
      </c>
      <c r="F31" s="488">
        <f t="shared" ca="1" si="18"/>
        <v>5325.6519742550099</v>
      </c>
      <c r="G31" s="488">
        <f t="shared" si="18"/>
        <v>51743.487644694178</v>
      </c>
      <c r="H31" s="488">
        <f t="shared" si="18"/>
        <v>9952.4118860237995</v>
      </c>
      <c r="I31" s="488">
        <f t="shared" si="18"/>
        <v>0</v>
      </c>
      <c r="J31" s="488">
        <f t="shared" si="18"/>
        <v>19.488837064599561</v>
      </c>
      <c r="K31" s="488">
        <f t="shared" si="18"/>
        <v>0</v>
      </c>
      <c r="L31" s="488">
        <f t="shared" ca="1" si="18"/>
        <v>0</v>
      </c>
      <c r="M31" s="488">
        <f t="shared" si="18"/>
        <v>0</v>
      </c>
      <c r="N31" s="488">
        <f t="shared" ca="1" si="18"/>
        <v>0</v>
      </c>
      <c r="O31" s="488">
        <f t="shared" si="18"/>
        <v>0</v>
      </c>
      <c r="P31" s="489">
        <f t="shared" si="18"/>
        <v>0</v>
      </c>
      <c r="Q31" s="489">
        <f t="shared" ca="1" si="18"/>
        <v>109015.26459014372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0.20750147506556074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0.20750147506556074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0.20750147506556074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2018-06-27T09:42:08Z</dcterms:modified>
</cp:coreProperties>
</file>