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L16" i="16" s="1"/>
  <c r="L18" s="1"/>
  <c r="S58" i="18"/>
  <c r="F16" i="16" s="1"/>
  <c r="R58" i="18"/>
  <c r="Q58"/>
  <c r="N16" i="16" s="1"/>
  <c r="P58" i="1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D12" s="1"/>
  <c r="E48" i="14" s="1"/>
  <c r="J15" i="16"/>
  <c r="C13" i="15"/>
  <c r="L6" i="17"/>
  <c r="L5" s="1"/>
  <c r="B8" i="9"/>
  <c r="B6" i="48" s="1"/>
  <c r="Q6" s="1"/>
  <c r="C16" i="15"/>
  <c r="D10" i="14" s="1"/>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7" i="48"/>
  <c r="J24" s="1"/>
  <c r="I5"/>
  <c r="I22" s="1"/>
  <c r="E8" i="17"/>
  <c r="F22" i="14" s="1"/>
  <c r="O22" i="16"/>
  <c r="P39" i="14" s="1"/>
  <c r="O18" i="16"/>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3" i="14"/>
  <c r="E12" i="17"/>
  <c r="F48" i="14" s="1"/>
  <c r="P41"/>
  <c r="P53" s="1"/>
  <c r="D8" i="48"/>
  <c r="D25" s="1"/>
  <c r="E20" i="15"/>
  <c r="F36" i="14" s="1"/>
  <c r="E16" i="15"/>
  <c r="J16"/>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C14" i="48"/>
  <c r="D5"/>
  <c r="D22" s="1"/>
  <c r="J67" i="14"/>
  <c r="I9" i="18"/>
  <c r="G58" i="22"/>
  <c r="H44" i="14" s="1"/>
  <c r="G10" i="48"/>
  <c r="G9"/>
  <c r="R17" i="14"/>
  <c r="Q13" i="48"/>
  <c r="I19" i="14"/>
  <c r="I20" s="1"/>
  <c r="I23" s="1"/>
  <c r="M18" i="22"/>
  <c r="N45" i="14" s="1"/>
  <c r="M9" i="48"/>
  <c r="N19" i="14"/>
  <c r="N20" s="1"/>
  <c r="N23" s="1"/>
  <c r="E5" i="48"/>
  <c r="E22" s="1"/>
  <c r="P14"/>
  <c r="F10" i="14"/>
  <c r="B8" i="4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L31" i="48"/>
  <c r="D31"/>
  <c r="J20" i="15"/>
  <c r="K36" i="14" s="1"/>
  <c r="E15"/>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K41" l="1"/>
  <c r="K53" s="1"/>
  <c r="O13"/>
  <c r="O15" s="1"/>
  <c r="N22" i="16"/>
  <c r="O39" i="14" s="1"/>
  <c r="O41" s="1"/>
  <c r="N25" i="48"/>
  <c r="N31" s="1"/>
  <c r="N14"/>
  <c r="E25"/>
  <c r="E31" s="1"/>
  <c r="E14"/>
  <c r="K13" i="14"/>
  <c r="K15" s="1"/>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<sst xmlns="http://schemas.openxmlformats.org/spreadsheetml/2006/main" count="1924" uniqueCount="818">
  <si>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</si>
  <si>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</si>
  <si>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</si>
  <si>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</si>
  <si>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</si>
  <si>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</si>
  <si>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</si>
  <si>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</si>
  <si>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</si>
  <si>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</si>
  <si>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</si>
  <si>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</si>
  <si>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</si>
  <si>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</si>
  <si>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</si>
  <si>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</si>
  <si>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</si>
  <si>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</si>
  <si>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</si>
  <si>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</si>
  <si>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</si>
  <si>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</si>
  <si>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</si>
  <si>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</si>
  <si>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</si>
  <si>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</si>
  <si>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</si>
  <si>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</si>
  <si>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</si>
  <si>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</si>
  <si>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</si>
  <si>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</si>
  <si>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</si>
  <si>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</si>
  <si>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</si>
  <si>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</si>
  <si>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</si>
  <si>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</si>
  <si>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</si>
  <si>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</si>
  <si>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</si>
  <si>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</si>
  <si>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</si>
  <si>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</si>
  <si>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</si>
  <si>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</si>
  <si>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</si>
  <si>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</si>
  <si>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</si>
  <si>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</si>
  <si>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</si>
  <si>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</si>
  <si>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</si>
  <si>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</si>
  <si>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</si>
  <si>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</si>
  <si>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</si>
  <si>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</si>
  <si>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</si>
  <si>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</si>
  <si>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</si>
  <si>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</si>
  <si>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</si>
  <si>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</si>
  <si>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</si>
  <si>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</si>
  <si>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</si>
  <si>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</si>
  <si>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</si>
  <si>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</si>
  <si>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</si>
  <si>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</si>
  <si>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</si>
  <si>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</si>
  <si>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</si>
  <si>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</si>
  <si>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</si>
  <si>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</si>
  <si>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</si>
  <si>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</si>
  <si>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</si>
  <si>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</si>
  <si>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</si>
  <si>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</si>
  <si>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</si>
  <si>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</si>
  <si>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</si>
  <si>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</si>
  <si>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</si>
  <si>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</si>
  <si>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</si>
  <si>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</si>
  <si>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</si>
  <si>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</si>
  <si>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</si>
  <si>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</si>
  <si>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</si>
  <si>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</si>
  <si>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</si>
  <si>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</si>
  <si>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</si>
  <si>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</si>
  <si>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</si>
  <si>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</si>
  <si>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</si>
  <si>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</si>
  <si>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</si>
  <si>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</si>
  <si>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</si>
  <si>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</si>
  <si>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</si>
  <si>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</si>
  <si>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</si>
  <si>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</si>
  <si>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</si>
  <si>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</si>
  <si>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</si>
  <si>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</si>
  <si>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</si>
  <si>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</si>
  <si>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</si>
  <si>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</si>
  <si>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</si>
  <si>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</si>
  <si>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</si>
  <si>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</si>
  <si>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</si>
  <si>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</si>
  <si>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</si>
  <si>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</si>
  <si>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</si>
  <si>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</si>
  <si>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</si>
  <si>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</si>
  <si>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</si>
  <si>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</si>
  <si>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</si>
  <si>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</si>
  <si>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</si>
  <si>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</si>
  <si>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</si>
  <si>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</si>
  <si>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</si>
  <si>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</si>
  <si>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</si>
  <si>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</si>
  <si>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</si>
  <si>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</si>
  <si>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</si>
  <si>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</si>
  <si>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</si>
  <si>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</si>
  <si>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</si>
  <si>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</si>
  <si>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</si>
  <si>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</si>
  <si>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</si>
  <si>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</si>
  <si>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</si>
  <si>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</si>
  <si>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</si>
  <si>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</si>
  <si>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</si>
  <si>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</si>
  <si>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</si>
  <si>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</si>
  <si>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</si>
  <si>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</si>
  <si>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</si>
  <si>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</si>
  <si>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</si>
  <si>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</si>
  <si>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</si>
  <si>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</si>
  <si>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</si>
  <si>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</si>
  <si>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</si>
  <si>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</si>
  <si>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</si>
  <si>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</si>
  <si>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</si>
  <si>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</si>
  <si>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</si>
  <si>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</si>
  <si>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</si>
  <si>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</si>
  <si>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</si>
  <si>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</si>
  <si>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</si>
  <si>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</si>
  <si>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</si>
  <si>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</si>
  <si>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</si>
  <si>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</si>
  <si>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</si>
  <si>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</si>
  <si>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</si>
  <si>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</si>
  <si>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</si>
  <si>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</si>
  <si>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</si>
  <si>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</si>
  <si>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</si>
  <si>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</si>
  <si>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</si>
  <si>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</si>
  <si>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</si>
  <si>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</si>
  <si>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</si>
  <si>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</si>
  <si>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</si>
  <si>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</si>
  <si>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</si>
  <si>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</si>
  <si>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</si>
  <si>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</si>
  <si>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</si>
  <si>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</si>
  <si>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</si>
  <si>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</si>
  <si>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</si>
  <si>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</si>
  <si>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</si>
  <si>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</si>
  <si>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</si>
  <si>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</si>
  <si>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</si>
  <si>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</si>
  <si>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</si>
  <si>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</si>
  <si>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</si>
  <si>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</si>
  <si>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</si>
  <si>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</si>
  <si>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</si>
  <si>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</si>
  <si>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</si>
  <si>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</si>
  <si>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</si>
  <si>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</si>
  <si>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</si>
  <si>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</si>
  <si>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</si>
  <si>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</si>
  <si>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</si>
  <si>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</si>
  <si>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</si>
  <si>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</si>
  <si>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</si>
  <si>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</si>
  <si>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</si>
  <si>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</si>
  <si>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</si>
  <si>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</si>
  <si>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</si>
  <si>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</si>
  <si>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</si>
  <si>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</si>
  <si>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</si>
  <si>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</si>
  <si>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</si>
  <si>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</si>
  <si>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</si>
  <si>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</si>
  <si>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</si>
  <si>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</si>
  <si>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</si>
  <si>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</si>
  <si>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</si>
  <si>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</si>
  <si>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</si>
  <si>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</si>
  <si>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</si>
  <si>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</si>
  <si>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</si>
  <si>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</si>
  <si>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</si>
  <si>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</si>
  <si>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</si>
  <si>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</si>
  <si>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</si>
  <si>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</si>
  <si>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</si>
  <si>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</si>
  <si>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</si>
  <si>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</si>
  <si>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</si>
  <si>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</si>
  <si>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</si>
  <si>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</si>
  <si>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</si>
  <si>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</si>
  <si>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</si>
  <si>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</si>
  <si>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</si>
  <si>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</si>
  <si>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</si>
  <si>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</si>
  <si>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</si>
  <si>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</si>
  <si>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</si>
  <si>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</si>
  <si>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</si>
  <si>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</si>
  <si>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</si>
  <si>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</si>
  <si>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</si>
  <si>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</si>
  <si>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</si>
  <si>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</si>
  <si>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</si>
  <si>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</si>
  <si>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</si>
  <si>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</si>
  <si>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</si>
  <si>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</si>
  <si>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</si>
  <si>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</si>
  <si>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</si>
  <si>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</si>
  <si>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</si>
  <si>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</si>
  <si>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</si>
  <si>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</si>
  <si>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</si>
  <si>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</si>
  <si>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</si>
  <si>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</si>
  <si>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</si>
  <si>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</si>
  <si>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</si>
  <si>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</si>
  <si>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</si>
  <si>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</si>
  <si>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</si>
  <si>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</si>
  <si>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</si>
  <si>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</si>
  <si>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</si>
  <si>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</si>
  <si>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</si>
  <si>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</si>
  <si>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</si>
  <si>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</si>
  <si>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</si>
  <si>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</si>
  <si>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</si>
  <si>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</si>
  <si>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</si>
  <si>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</si>
  <si>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</si>
  <si>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</si>
  <si>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</si>
  <si>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</si>
  <si>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</si>
  <si>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</si>
  <si>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</si>
  <si>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</si>
  <si>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</si>
  <si>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</si>
  <si>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</si>
  <si>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</si>
  <si>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</si>
  <si>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</si>
  <si>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</si>
  <si>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</si>
  <si>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</si>
  <si>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</si>
  <si>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</si>
  <si>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</si>
  <si>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</si>
  <si>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</si>
  <si>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</si>
  <si>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</si>
  <si>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</si>
  <si>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</si>
  <si>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</si>
  <si>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</si>
  <si>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</si>
  <si>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</si>
  <si>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</si>
  <si>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</si>
  <si>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</si>
  <si>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</si>
  <si>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</si>
  <si>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</si>
  <si>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</si>
  <si>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</si>
  <si>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</si>
  <si>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</si>
  <si>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</si>
  <si>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</si>
  <si>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</si>
  <si>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</si>
  <si>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</si>
  <si>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</si>
  <si>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</si>
  <si>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</si>
  <si>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</si>
  <si>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</si>
  <si>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</si>
  <si>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</si>
  <si>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</si>
  <si>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</si>
  <si>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</si>
  <si>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</si>
  <si>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</si>
  <si>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</si>
  <si>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</si>
  <si>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</si>
  <si>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</si>
  <si>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</si>
  <si>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</si>
  <si>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</si>
  <si>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</si>
  <si>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</si>
  <si>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</si>
  <si>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</si>
  <si>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</si>
  <si>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</si>
  <si>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</si>
  <si>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</si>
  <si>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</si>
  <si>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</si>
  <si>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</si>
  <si>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</si>
  <si>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</si>
  <si>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</si>
  <si>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</si>
  <si>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</si>
  <si>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</si>
  <si>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</si>
  <si>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</si>
  <si>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</si>
  <si>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</si>
  <si>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</si>
  <si>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</si>
  <si>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</si>
  <si>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</si>
  <si>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</si>
  <si>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</si>
  <si>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</si>
  <si>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</si>
  <si>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</si>
  <si>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</si>
  <si>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</si>
  <si>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</si>
  <si>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</si>
  <si>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</si>
  <si>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</si>
  <si>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</si>
  <si>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</si>
  <si>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</si>
  <si>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</si>
  <si>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</si>
  <si>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</si>
  <si>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</si>
  <si>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</si>
  <si>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</si>
  <si>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</si>
  <si>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</si>
  <si>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</si>
  <si>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</si>
  <si>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</si>
  <si>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</si>
  <si>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</si>
  <si>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</si>
  <si>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</si>
  <si>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</si>
  <si>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</si>
  <si>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</si>
  <si>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</si>
  <si>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</si>
  <si>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</si>
  <si>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</si>
  <si>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</si>
  <si>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</si>
  <si>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</si>
  <si>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</si>
  <si>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</si>
  <si>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</si>
  <si>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</si>
  <si>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</si>
  <si>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</si>
  <si>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</si>
  <si>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</si>
  <si>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</si>
  <si>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</si>
  <si>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</si>
  <si>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</si>
  <si>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</si>
  <si>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</si>
  <si>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</si>
  <si>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</si>
  <si>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</si>
  <si>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</si>
  <si>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</si>
  <si>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</si>
  <si>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</si>
  <si>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</si>
  <si>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</si>
  <si>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</si>
  <si>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</si>
  <si>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</si>
  <si>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</si>
  <si>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</si>
  <si>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</si>
  <si>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</si>
  <si>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</si>
  <si>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</si>
  <si>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</si>
  <si>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</si>
  <si>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</si>
  <si>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</si>
  <si>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</si>
  <si>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</si>
  <si>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</si>
  <si>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</si>
  <si>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</si>
  <si>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</si>
  <si>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</si>
  <si>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</si>
  <si>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</si>
  <si>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</si>
  <si>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</si>
  <si>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</si>
  <si>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</si>
  <si>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</si>
  <si>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</si>
  <si>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</si>
  <si>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</si>
  <si>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</si>
  <si>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</si>
  <si>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</si>
  <si>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</si>
  <si>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</si>
  <si>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</si>
  <si>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</si>
  <si>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</si>
  <si>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</si>
  <si>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</si>
  <si>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</si>
  <si>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</si>
  <si>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</si>
  <si>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</si>
  <si>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</si>
  <si>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</si>
  <si>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</si>
  <si>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</si>
  <si>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</si>
  <si>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</si>
  <si>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</si>
  <si>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</si>
  <si>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</si>
  <si>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</si>
  <si>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</si>
  <si>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</si>
  <si>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</si>
  <si>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</si>
  <si>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</si>
  <si>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</si>
  <si>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</si>
  <si>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</si>
  <si>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</si>
  <si>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</si>
  <si>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</si>
  <si>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</si>
  <si>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</si>
  <si>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</si>
  <si>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</si>
  <si>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</si>
  <si>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</si>
  <si>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</si>
  <si>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</si>
  <si>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</si>
  <si>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</si>
  <si>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</si>
  <si>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</si>
  <si>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</si>
  <si>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</si>
  <si>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</si>
  <si>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</si>
  <si>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</si>
  <si>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</si>
  <si>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</si>
  <si>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</si>
  <si>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</si>
  <si>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</si>
  <si>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</si>
  <si>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</si>
  <si>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</si>
  <si>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</si>
  <si>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</si>
  <si>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</si>
  <si>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</si>
  <si>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</si>
  <si>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</si>
  <si>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</si>
  <si>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</si>
  <si>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</si>
  <si>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</si>
  <si>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</si>
  <si>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</si>
  <si>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</si>
  <si>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</si>
  <si>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</si>
  <si>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</si>
  <si>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</si>
  <si>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</si>
  <si>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</si>
  <si>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</si>
  <si>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</si>
  <si>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</si>
  <si>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</si>
  <si>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</si>
  <si>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</si>
  <si>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</si>
  <si>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</si>
  <si>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</si>
  <si>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</si>
  <si>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</si>
  <si>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</si>
  <si>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</si>
  <si>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</si>
  <si>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</si>
  <si>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</si>
  <si>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</si>
  <si>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</si>
  <si>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</si>
  <si>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</si>
  <si>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</si>
  <si>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</si>
  <si>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</si>
  <si>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</si>
  <si>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</si>
  <si>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</si>
  <si>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</si>
  <si>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</si>
  <si>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</si>
  <si>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</si>
  <si>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</si>
  <si>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</si>
  <si>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</si>
  <si>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</si>
  <si>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</si>
  <si>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</si>
  <si>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</si>
  <si>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</si>
  <si>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</si>
  <si>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</si>
  <si>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</si>
  <si>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</si>
  <si>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</si>
  <si>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</si>
  <si>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</si>
  <si>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</si>
  <si>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</si>
  <si>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</si>
  <si>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</si>
  <si>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</si>
  <si>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</si>
  <si>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</si>
  <si>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</si>
  <si>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</si>
  <si>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</si>
  <si>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</si>
  <si>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</si>
  <si>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</si>
  <si>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</si>
  <si>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</si>
  <si>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</si>
  <si>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</si>
  <si>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</si>
  <si>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</si>
  <si>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</si>
  <si>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</si>
  <si>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</si>
  <si>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</si>
  <si>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</si>
  <si>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</si>
  <si>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</si>
  <si>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</si>
  <si>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</si>
  <si>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</si>
  <si>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</si>
  <si>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</si>
  <si>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</si>
  <si>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</si>
  <si>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</si>
  <si>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</si>
  <si>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</si>
  <si>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</si>
  <si>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</si>
  <si>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</si>
  <si>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</si>
  <si>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</si>
  <si>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</si>
  <si>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</si>
  <si>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</si>
  <si>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</si>
  <si>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</si>
  <si>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</si>
  <si>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</si>
  <si>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</si>
  <si>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</si>
  <si>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</si>
  <si>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</si>
  <si>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</si>
  <si>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</si>
  <si>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</si>
  <si>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</si>
  <si>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</si>
  <si>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</si>
  <si>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</si>
  <si>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</si>
  <si>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</si>
  <si>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</si>
  <si>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</si>
  <si>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</si>
  <si>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</si>
  <si>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</si>
  <si>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</si>
  <si>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</si>
  <si>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</si>
  <si>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</si>
  <si>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</si>
  <si>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</si>
  <si>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</si>
  <si>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</si>
  <si>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</si>
  <si>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</si>
  <si>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</si>
  <si>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</si>
  <si>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</si>
  <si>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</si>
  <si>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</si>
  <si>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</si>
  <si>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</si>
  <si>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</si>
  <si>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</si>
  <si>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</si>
  <si>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</si>
  <si>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</si>
  <si>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</si>
  <si>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</si>
  <si>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</si>
  <si>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</si>
  <si>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</si>
  <si>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</si>
  <si>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</si>
  <si>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</si>
  <si>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</si>
  <si>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</si>
  <si>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</si>
  <si>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</si>
  <si>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</si>
  <si>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</si>
  <si>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</si>
  <si>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</si>
  <si>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</si>
  <si>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</si>
  <si>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</si>
  <si>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</si>
  <si>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</si>
  <si>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</si>
  <si>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</si>
  <si>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</si>
  <si>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</si>
  <si>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</si>
  <si>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</si>
  <si>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</si>
  <si>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</si>
  <si>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</si>
  <si>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</si>
  <si>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</si>
  <si>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</si>
  <si>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</si>
  <si>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</si>
  <si>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</si>
  <si>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</si>
  <si>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</si>
  <si>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</si>
  <si>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</si>
  <si>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</si>
  <si>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</si>
  <si>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</si>
  <si>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</si>
  <si>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</si>
  <si>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</si>
  <si>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</si>
  <si>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</si>
  <si>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</si>
  <si>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</si>
  <si>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</si>
  <si>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</si>
  <si>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</si>
  <si>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</si>
  <si>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</si>
  <si>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</si>
  <si>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</si>
  <si>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</si>
  <si>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</si>
  <si>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</si>
  <si>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</si>
  <si>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</si>
  <si>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</si>
  <si>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</si>
  <si>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</si>
  <si>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</si>
  <si>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</si>
  <si>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24028</t>
  </si>
  <si>
    <t>GEETBETS</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</si>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</sst>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65837.694666770301</c:v>
                </c:pt>
                <c:pt idx="1">
                  <c:v>7096.1960442031168</c:v>
                </c:pt>
                <c:pt idx="2">
                  <c:v>374.69600000000003</c:v>
                </c:pt>
                <c:pt idx="3">
                  <c:v>11790.981815286535</c:v>
                </c:pt>
                <c:pt idx="4">
                  <c:v>2377.3823319971566</c:v>
                </c:pt>
                <c:pt idx="5">
                  <c:v>29007.770429858574</c:v>
                </c:pt>
                <c:pt idx="6">
                  <c:v>547.17068807984958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65837.694666770301</c:v>
                </c:pt>
                <c:pt idx="1">
                  <c:v>7096.1960442031168</c:v>
                </c:pt>
                <c:pt idx="2">
                  <c:v>374.69600000000003</c:v>
                </c:pt>
                <c:pt idx="3">
                  <c:v>11790.981815286535</c:v>
                </c:pt>
                <c:pt idx="4">
                  <c:v>2377.3823319971566</c:v>
                </c:pt>
                <c:pt idx="5">
                  <c:v>29007.770429858574</c:v>
                </c:pt>
                <c:pt idx="6">
                  <c:v>547.17068807984958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14834.235735304206</c:v>
                </c:pt>
                <c:pt idx="1">
                  <c:v>1351.390895879292</c:v>
                </c:pt>
                <c:pt idx="2">
                  <c:v>68.357069229492865</c:v>
                </c:pt>
                <c:pt idx="3">
                  <c:v>2968.871681531517</c:v>
                </c:pt>
                <c:pt idx="4">
                  <c:v>449.74443457392499</c:v>
                </c:pt>
                <c:pt idx="5">
                  <c:v>7401.1797434231894</c:v>
                </c:pt>
                <c:pt idx="6">
                  <c:v>141.69937607866572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13856"/>
      </c:barChart>
      <c:catAx>
        <c:axId val="18336460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14834.235735304206</c:v>
                </c:pt>
                <c:pt idx="1">
                  <c:v>1351.390895879292</c:v>
                </c:pt>
                <c:pt idx="2">
                  <c:v>68.357069229492865</c:v>
                </c:pt>
                <c:pt idx="3">
                  <c:v>2968.871681531517</c:v>
                </c:pt>
                <c:pt idx="4">
                  <c:v>449.74443457392499</c:v>
                </c:pt>
                <c:pt idx="5">
                  <c:v>7401.1797434231894</c:v>
                </c:pt>
                <c:pt idx="6">
                  <c:v>141.69937607866572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24028</v>
      </c>
      <c r="B6" s="415"/>
      <c r="C6" s="416"/>
    </row>
    <row r="7" spans="1:7" s="413" customFormat="1" ht="15.75" customHeight="1">
      <c r="A7" s="417" t="str">
        <f>txtMunicipality</f>
        <v>GEETBETS</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4457.4489999999996</v>
      </c>
      <c r="D10" s="718">
        <f ca="1">tertiair!C16</f>
        <v>0</v>
      </c>
      <c r="E10" s="718">
        <f ca="1">tertiair!D16</f>
        <v>1559.1962979999998</v>
      </c>
      <c r="F10" s="718">
        <f>tertiair!E16</f>
        <v>91.251164821850082</v>
      </c>
      <c r="G10" s="718">
        <f ca="1">tertiair!F16</f>
        <v>1014.5643247867313</v>
      </c>
      <c r="H10" s="718">
        <f>tertiair!G16</f>
        <v>0</v>
      </c>
      <c r="I10" s="718">
        <f>tertiair!H16</f>
        <v>0</v>
      </c>
      <c r="J10" s="718">
        <f>tertiair!I16</f>
        <v>0</v>
      </c>
      <c r="K10" s="718">
        <f>tertiair!J16</f>
        <v>0</v>
      </c>
      <c r="L10" s="718">
        <f>tertiair!K16</f>
        <v>0</v>
      </c>
      <c r="M10" s="718">
        <f ca="1">tertiair!L16</f>
        <v>0</v>
      </c>
      <c r="N10" s="718">
        <f>tertiair!M16</f>
        <v>0</v>
      </c>
      <c r="O10" s="718">
        <f ca="1">tertiair!N16</f>
        <v>326.23792326120326</v>
      </c>
      <c r="P10" s="718">
        <f>tertiair!O16</f>
        <v>3.1266666666666669</v>
      </c>
      <c r="Q10" s="719">
        <f>tertiair!P16</f>
        <v>19.066666666666666</v>
      </c>
      <c r="R10" s="721">
        <f ca="1">SUM(C10:Q10)</f>
        <v>7470.8920442031167</v>
      </c>
      <c r="S10" s="67"/>
    </row>
    <row r="11" spans="1:19" s="474" customFormat="1">
      <c r="A11" s="870" t="s">
        <v>225</v>
      </c>
      <c r="B11" s="875"/>
      <c r="C11" s="718">
        <f>huishoudens!B8</f>
        <v>11302.046807118566</v>
      </c>
      <c r="D11" s="718">
        <f>huishoudens!C8</f>
        <v>0</v>
      </c>
      <c r="E11" s="718">
        <f>huishoudens!D8</f>
        <v>6401.3108940000002</v>
      </c>
      <c r="F11" s="718">
        <f>huishoudens!E8</f>
        <v>3016.3683115958884</v>
      </c>
      <c r="G11" s="718">
        <f>huishoudens!F8</f>
        <v>38582.314309111847</v>
      </c>
      <c r="H11" s="718">
        <f>huishoudens!G8</f>
        <v>0</v>
      </c>
      <c r="I11" s="718">
        <f>huishoudens!H8</f>
        <v>0</v>
      </c>
      <c r="J11" s="718">
        <f>huishoudens!I8</f>
        <v>0</v>
      </c>
      <c r="K11" s="718">
        <f>huishoudens!J8</f>
        <v>1392.9561054414976</v>
      </c>
      <c r="L11" s="718">
        <f>huishoudens!K8</f>
        <v>0</v>
      </c>
      <c r="M11" s="718">
        <f>huishoudens!L8</f>
        <v>0</v>
      </c>
      <c r="N11" s="718">
        <f>huishoudens!M8</f>
        <v>0</v>
      </c>
      <c r="O11" s="718">
        <f>huishoudens!N8</f>
        <v>4217.4449061691594</v>
      </c>
      <c r="P11" s="718">
        <f>huishoudens!O8</f>
        <v>162.58666666666667</v>
      </c>
      <c r="Q11" s="719">
        <f>huishoudens!P8</f>
        <v>762.66666666666674</v>
      </c>
      <c r="R11" s="721">
        <f>SUM(C11:Q11)</f>
        <v>65837.694666770301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1534.162</v>
      </c>
      <c r="D13" s="718">
        <f>industrie!C18</f>
        <v>0</v>
      </c>
      <c r="E13" s="718">
        <f>industrie!D18</f>
        <v>146.07439000000002</v>
      </c>
      <c r="F13" s="718">
        <f>industrie!E18</f>
        <v>111.23951893264893</v>
      </c>
      <c r="G13" s="718">
        <f>industrie!F18</f>
        <v>429.50025039123523</v>
      </c>
      <c r="H13" s="718">
        <f>industrie!G18</f>
        <v>0</v>
      </c>
      <c r="I13" s="718">
        <f>industrie!H18</f>
        <v>0</v>
      </c>
      <c r="J13" s="718">
        <f>industrie!I18</f>
        <v>0</v>
      </c>
      <c r="K13" s="718">
        <f>industrie!J18</f>
        <v>1.2063955438057095</v>
      </c>
      <c r="L13" s="718">
        <f>industrie!K18</f>
        <v>0</v>
      </c>
      <c r="M13" s="718">
        <f>industrie!L18</f>
        <v>0</v>
      </c>
      <c r="N13" s="718">
        <f>industrie!M18</f>
        <v>0</v>
      </c>
      <c r="O13" s="718">
        <f>industrie!N18</f>
        <v>155.19977712946675</v>
      </c>
      <c r="P13" s="718">
        <f>industrie!O18</f>
        <v>0</v>
      </c>
      <c r="Q13" s="719">
        <f>industrie!P18</f>
        <v>0</v>
      </c>
      <c r="R13" s="721">
        <f>SUM(C13:Q13)</f>
        <v>2377.3823319971566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17293.657807118565</v>
      </c>
      <c r="D15" s="723">
        <f t="shared" ref="D15:Q15" ca="1" si="0">SUM(D9:D14)</f>
        <v>0</v>
      </c>
      <c r="E15" s="723">
        <f t="shared" ca="1" si="0"/>
        <v>8106.5815819999998</v>
      </c>
      <c r="F15" s="723">
        <f t="shared" si="0"/>
        <v>3218.8589953503874</v>
      </c>
      <c r="G15" s="723">
        <f t="shared" ca="1" si="0"/>
        <v>40026.378884289814</v>
      </c>
      <c r="H15" s="723">
        <f t="shared" si="0"/>
        <v>0</v>
      </c>
      <c r="I15" s="723">
        <f t="shared" si="0"/>
        <v>0</v>
      </c>
      <c r="J15" s="723">
        <f t="shared" si="0"/>
        <v>0</v>
      </c>
      <c r="K15" s="723">
        <f t="shared" si="0"/>
        <v>1394.1625009853033</v>
      </c>
      <c r="L15" s="723">
        <f t="shared" si="0"/>
        <v>0</v>
      </c>
      <c r="M15" s="723">
        <f t="shared" ca="1" si="0"/>
        <v>0</v>
      </c>
      <c r="N15" s="723">
        <f t="shared" si="0"/>
        <v>0</v>
      </c>
      <c r="O15" s="723">
        <f t="shared" ca="1" si="0"/>
        <v>4698.8826065598287</v>
      </c>
      <c r="P15" s="723">
        <f t="shared" si="0"/>
        <v>165.71333333333334</v>
      </c>
      <c r="Q15" s="724">
        <f t="shared" si="0"/>
        <v>781.73333333333346</v>
      </c>
      <c r="R15" s="725">
        <f ca="1">SUM(R9:R14)</f>
        <v>75685.969042970581</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530.70927370286779</v>
      </c>
      <c r="I18" s="718">
        <f>transport!H54</f>
        <v>0</v>
      </c>
      <c r="J18" s="718">
        <f>transport!I54</f>
        <v>0</v>
      </c>
      <c r="K18" s="718">
        <f>transport!J54</f>
        <v>0</v>
      </c>
      <c r="L18" s="718">
        <f>transport!K54</f>
        <v>0</v>
      </c>
      <c r="M18" s="718">
        <f>transport!L54</f>
        <v>0</v>
      </c>
      <c r="N18" s="718">
        <f>transport!M54</f>
        <v>16.461414376981825</v>
      </c>
      <c r="O18" s="718">
        <f>transport!N54</f>
        <v>0</v>
      </c>
      <c r="P18" s="718">
        <f>transport!O54</f>
        <v>0</v>
      </c>
      <c r="Q18" s="719">
        <f>transport!P54</f>
        <v>0</v>
      </c>
      <c r="R18" s="721">
        <f>SUM(C18:Q18)</f>
        <v>547.17068807984958</v>
      </c>
      <c r="S18" s="67"/>
    </row>
    <row r="19" spans="1:19" s="474" customFormat="1" ht="15" thickBot="1">
      <c r="A19" s="870" t="s">
        <v>307</v>
      </c>
      <c r="B19" s="875"/>
      <c r="C19" s="727">
        <f>transport!B14</f>
        <v>7.0801026186533482</v>
      </c>
      <c r="D19" s="727">
        <f>transport!C14</f>
        <v>0</v>
      </c>
      <c r="E19" s="727">
        <f>transport!D14</f>
        <v>22.159918495370341</v>
      </c>
      <c r="F19" s="727">
        <f>transport!E14</f>
        <v>81.7069575871745</v>
      </c>
      <c r="G19" s="727">
        <f>transport!F14</f>
        <v>0</v>
      </c>
      <c r="H19" s="727">
        <f>transport!G14</f>
        <v>22175.135964107729</v>
      </c>
      <c r="I19" s="727">
        <f>transport!H14</f>
        <v>5847.8032563443348</v>
      </c>
      <c r="J19" s="727">
        <f>transport!I14</f>
        <v>0</v>
      </c>
      <c r="K19" s="727">
        <f>transport!J14</f>
        <v>0</v>
      </c>
      <c r="L19" s="727">
        <f>transport!K14</f>
        <v>0</v>
      </c>
      <c r="M19" s="727">
        <f>transport!L14</f>
        <v>0</v>
      </c>
      <c r="N19" s="727">
        <f>transport!M14</f>
        <v>873.88423070531417</v>
      </c>
      <c r="O19" s="727">
        <f>transport!N14</f>
        <v>0</v>
      </c>
      <c r="P19" s="727">
        <f>transport!O14</f>
        <v>0</v>
      </c>
      <c r="Q19" s="728">
        <f>transport!P14</f>
        <v>0</v>
      </c>
      <c r="R19" s="729">
        <f>SUM(C19:Q19)</f>
        <v>29007.770429858574</v>
      </c>
      <c r="S19" s="67"/>
    </row>
    <row r="20" spans="1:19" s="474" customFormat="1" ht="15.75" thickBot="1">
      <c r="A20" s="730" t="s">
        <v>230</v>
      </c>
      <c r="B20" s="878"/>
      <c r="C20" s="873">
        <f>SUM(C17:C19)</f>
        <v>7.0801026186533482</v>
      </c>
      <c r="D20" s="731">
        <f t="shared" ref="D20:R20" si="1">SUM(D17:D19)</f>
        <v>0</v>
      </c>
      <c r="E20" s="731">
        <f t="shared" si="1"/>
        <v>22.159918495370341</v>
      </c>
      <c r="F20" s="731">
        <f t="shared" si="1"/>
        <v>81.7069575871745</v>
      </c>
      <c r="G20" s="731">
        <f t="shared" si="1"/>
        <v>0</v>
      </c>
      <c r="H20" s="731">
        <f t="shared" si="1"/>
        <v>22705.845237810598</v>
      </c>
      <c r="I20" s="731">
        <f t="shared" si="1"/>
        <v>5847.8032563443348</v>
      </c>
      <c r="J20" s="731">
        <f t="shared" si="1"/>
        <v>0</v>
      </c>
      <c r="K20" s="731">
        <f t="shared" si="1"/>
        <v>0</v>
      </c>
      <c r="L20" s="731">
        <f t="shared" si="1"/>
        <v>0</v>
      </c>
      <c r="M20" s="731">
        <f t="shared" si="1"/>
        <v>0</v>
      </c>
      <c r="N20" s="731">
        <f t="shared" si="1"/>
        <v>890.34564508229596</v>
      </c>
      <c r="O20" s="731">
        <f t="shared" si="1"/>
        <v>0</v>
      </c>
      <c r="P20" s="731">
        <f t="shared" si="1"/>
        <v>0</v>
      </c>
      <c r="Q20" s="732">
        <f t="shared" si="1"/>
        <v>0</v>
      </c>
      <c r="R20" s="733">
        <f t="shared" si="1"/>
        <v>29554.941117938422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2440.6509999999998</v>
      </c>
      <c r="D22" s="727">
        <f>+landbouw!C8</f>
        <v>0</v>
      </c>
      <c r="E22" s="727">
        <f>+landbouw!D8</f>
        <v>14.987632</v>
      </c>
      <c r="F22" s="727">
        <f>+landbouw!E8</f>
        <v>62.935018273587772</v>
      </c>
      <c r="G22" s="727">
        <f>+landbouw!F8</f>
        <v>8921.044204404323</v>
      </c>
      <c r="H22" s="727">
        <f>+landbouw!G8</f>
        <v>0</v>
      </c>
      <c r="I22" s="727">
        <f>+landbouw!H8</f>
        <v>0</v>
      </c>
      <c r="J22" s="727">
        <f>+landbouw!I8</f>
        <v>0</v>
      </c>
      <c r="K22" s="727">
        <f>+landbouw!J8</f>
        <v>351.3639606086254</v>
      </c>
      <c r="L22" s="727">
        <f>+landbouw!K8</f>
        <v>0</v>
      </c>
      <c r="M22" s="727">
        <f>+landbouw!L8</f>
        <v>0</v>
      </c>
      <c r="N22" s="727">
        <f>+landbouw!M8</f>
        <v>0</v>
      </c>
      <c r="O22" s="727">
        <f>+landbouw!N8</f>
        <v>0</v>
      </c>
      <c r="P22" s="727">
        <f>+landbouw!O8</f>
        <v>0</v>
      </c>
      <c r="Q22" s="728">
        <f>+landbouw!P8</f>
        <v>0</v>
      </c>
      <c r="R22" s="729">
        <f>SUM(C22:Q22)</f>
        <v>11790.981815286535</v>
      </c>
      <c r="S22" s="67"/>
    </row>
    <row r="23" spans="1:19" s="474" customFormat="1" ht="17.25" thickTop="1" thickBot="1">
      <c r="A23" s="734" t="s">
        <v>116</v>
      </c>
      <c r="B23" s="864"/>
      <c r="C23" s="735">
        <f ca="1">C20+C15+C22</f>
        <v>19741.388909737216</v>
      </c>
      <c r="D23" s="735">
        <f t="shared" ref="D23:Q23" ca="1" si="2">D20+D15+D22</f>
        <v>0</v>
      </c>
      <c r="E23" s="735">
        <f t="shared" ca="1" si="2"/>
        <v>8143.7291324953703</v>
      </c>
      <c r="F23" s="735">
        <f t="shared" si="2"/>
        <v>3363.50097121115</v>
      </c>
      <c r="G23" s="735">
        <f t="shared" ca="1" si="2"/>
        <v>48947.423088694137</v>
      </c>
      <c r="H23" s="735">
        <f t="shared" si="2"/>
        <v>22705.845237810598</v>
      </c>
      <c r="I23" s="735">
        <f t="shared" si="2"/>
        <v>5847.8032563443348</v>
      </c>
      <c r="J23" s="735">
        <f t="shared" si="2"/>
        <v>0</v>
      </c>
      <c r="K23" s="735">
        <f t="shared" si="2"/>
        <v>1745.5264615939286</v>
      </c>
      <c r="L23" s="735">
        <f t="shared" si="2"/>
        <v>0</v>
      </c>
      <c r="M23" s="735">
        <f t="shared" ca="1" si="2"/>
        <v>0</v>
      </c>
      <c r="N23" s="735">
        <f t="shared" si="2"/>
        <v>890.34564508229596</v>
      </c>
      <c r="O23" s="735">
        <f t="shared" ca="1" si="2"/>
        <v>4698.8826065598287</v>
      </c>
      <c r="P23" s="735">
        <f t="shared" si="2"/>
        <v>165.71333333333334</v>
      </c>
      <c r="Q23" s="736">
        <f t="shared" si="2"/>
        <v>781.73333333333346</v>
      </c>
      <c r="R23" s="737">
        <f ca="1">R20+R15+R22</f>
        <v>117031.89197619553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813.18762378016766</v>
      </c>
      <c r="D36" s="718">
        <f ca="1">tertiair!C20</f>
        <v>0</v>
      </c>
      <c r="E36" s="718">
        <f ca="1">tertiair!D20</f>
        <v>314.95765219599997</v>
      </c>
      <c r="F36" s="718">
        <f>tertiair!E20</f>
        <v>20.714014414559969</v>
      </c>
      <c r="G36" s="718">
        <f ca="1">tertiair!F20</f>
        <v>270.88867471805725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1419.7479651087847</v>
      </c>
    </row>
    <row r="37" spans="1:18">
      <c r="A37" s="885" t="s">
        <v>225</v>
      </c>
      <c r="B37" s="892"/>
      <c r="C37" s="718">
        <f ca="1">huishoudens!B12</f>
        <v>2061.8709461247854</v>
      </c>
      <c r="D37" s="718">
        <f ca="1">huishoudens!C12</f>
        <v>0</v>
      </c>
      <c r="E37" s="718">
        <f>huishoudens!D12</f>
        <v>1293.064800588</v>
      </c>
      <c r="F37" s="718">
        <f>huishoudens!E12</f>
        <v>684.71560673226668</v>
      </c>
      <c r="G37" s="718">
        <f>huishoudens!F12</f>
        <v>10301.477920532863</v>
      </c>
      <c r="H37" s="718">
        <f>huishoudens!G12</f>
        <v>0</v>
      </c>
      <c r="I37" s="718">
        <f>huishoudens!H12</f>
        <v>0</v>
      </c>
      <c r="J37" s="718">
        <f>huishoudens!I12</f>
        <v>0</v>
      </c>
      <c r="K37" s="718">
        <f>huishoudens!J12</f>
        <v>493.10646132629012</v>
      </c>
      <c r="L37" s="718">
        <f>huishoudens!K12</f>
        <v>0</v>
      </c>
      <c r="M37" s="718">
        <f>huishoudens!L12</f>
        <v>0</v>
      </c>
      <c r="N37" s="718">
        <f>huishoudens!M12</f>
        <v>0</v>
      </c>
      <c r="O37" s="718">
        <f>huishoudens!N12</f>
        <v>0</v>
      </c>
      <c r="P37" s="718">
        <f>huishoudens!O12</f>
        <v>0</v>
      </c>
      <c r="Q37" s="828">
        <f>huishoudens!P12</f>
        <v>0</v>
      </c>
      <c r="R37" s="917">
        <f ca="1">SUM(C37:Q37)</f>
        <v>14834.235735304206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279.88240611924664</v>
      </c>
      <c r="D39" s="718">
        <f ca="1">industrie!C22</f>
        <v>0</v>
      </c>
      <c r="E39" s="718">
        <f>industrie!D22</f>
        <v>29.507026780000007</v>
      </c>
      <c r="F39" s="718">
        <f>industrie!E22</f>
        <v>25.25137079771131</v>
      </c>
      <c r="G39" s="718">
        <f>industrie!F22</f>
        <v>114.67656685445981</v>
      </c>
      <c r="H39" s="718">
        <f>industrie!G22</f>
        <v>0</v>
      </c>
      <c r="I39" s="718">
        <f>industrie!H22</f>
        <v>0</v>
      </c>
      <c r="J39" s="718">
        <f>industrie!I22</f>
        <v>0</v>
      </c>
      <c r="K39" s="718">
        <f>industrie!J22</f>
        <v>0.42706402250722114</v>
      </c>
      <c r="L39" s="718">
        <f>industrie!K22</f>
        <v>0</v>
      </c>
      <c r="M39" s="718">
        <f>industrie!L22</f>
        <v>0</v>
      </c>
      <c r="N39" s="718">
        <f>industrie!M22</f>
        <v>0</v>
      </c>
      <c r="O39" s="718">
        <f>industrie!N22</f>
        <v>0</v>
      </c>
      <c r="P39" s="718">
        <f>industrie!O22</f>
        <v>0</v>
      </c>
      <c r="Q39" s="828">
        <f>industrie!P22</f>
        <v>0</v>
      </c>
      <c r="R39" s="918">
        <f ca="1">SUM(C39:Q39)</f>
        <v>449.74443457392499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3154.9409760241997</v>
      </c>
      <c r="D41" s="763">
        <f t="shared" ref="D41:R41" ca="1" si="4">SUM(D35:D40)</f>
        <v>0</v>
      </c>
      <c r="E41" s="763">
        <f t="shared" ca="1" si="4"/>
        <v>1637.529479564</v>
      </c>
      <c r="F41" s="763">
        <f t="shared" si="4"/>
        <v>730.68099194453794</v>
      </c>
      <c r="G41" s="763">
        <f t="shared" ca="1" si="4"/>
        <v>10687.043162105379</v>
      </c>
      <c r="H41" s="763">
        <f t="shared" si="4"/>
        <v>0</v>
      </c>
      <c r="I41" s="763">
        <f t="shared" si="4"/>
        <v>0</v>
      </c>
      <c r="J41" s="763">
        <f t="shared" si="4"/>
        <v>0</v>
      </c>
      <c r="K41" s="763">
        <f t="shared" si="4"/>
        <v>493.53352534879735</v>
      </c>
      <c r="L41" s="763">
        <f t="shared" si="4"/>
        <v>0</v>
      </c>
      <c r="M41" s="763">
        <f t="shared" ca="1" si="4"/>
        <v>0</v>
      </c>
      <c r="N41" s="763">
        <f t="shared" si="4"/>
        <v>0</v>
      </c>
      <c r="O41" s="763">
        <f t="shared" ca="1" si="4"/>
        <v>0</v>
      </c>
      <c r="P41" s="763">
        <f t="shared" si="4"/>
        <v>0</v>
      </c>
      <c r="Q41" s="764">
        <f t="shared" si="4"/>
        <v>0</v>
      </c>
      <c r="R41" s="765">
        <f t="shared" ca="1" si="4"/>
        <v>16703.728134986915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141.69937607866572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141.69937607866572</v>
      </c>
    </row>
    <row r="45" spans="1:18" ht="15" thickBot="1">
      <c r="A45" s="888" t="s">
        <v>307</v>
      </c>
      <c r="B45" s="898"/>
      <c r="C45" s="727">
        <f ca="1">transport!B18</f>
        <v>1.29164726833273</v>
      </c>
      <c r="D45" s="727">
        <f>transport!C18</f>
        <v>0</v>
      </c>
      <c r="E45" s="727">
        <f>transport!D18</f>
        <v>4.4763035360648091</v>
      </c>
      <c r="F45" s="727">
        <f>transport!E18</f>
        <v>18.547479372288613</v>
      </c>
      <c r="G45" s="727">
        <f>transport!F18</f>
        <v>0</v>
      </c>
      <c r="H45" s="727">
        <f>transport!G18</f>
        <v>5920.761302416764</v>
      </c>
      <c r="I45" s="727">
        <f>transport!H18</f>
        <v>1456.1030108297393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7401.1797434231894</v>
      </c>
    </row>
    <row r="46" spans="1:18" ht="15.75" thickBot="1">
      <c r="A46" s="886" t="s">
        <v>230</v>
      </c>
      <c r="B46" s="899"/>
      <c r="C46" s="763">
        <f t="shared" ref="C46:R46" ca="1" si="5">SUM(C43:C45)</f>
        <v>1.29164726833273</v>
      </c>
      <c r="D46" s="763">
        <f t="shared" ca="1" si="5"/>
        <v>0</v>
      </c>
      <c r="E46" s="763">
        <f t="shared" si="5"/>
        <v>4.4763035360648091</v>
      </c>
      <c r="F46" s="763">
        <f t="shared" si="5"/>
        <v>18.547479372288613</v>
      </c>
      <c r="G46" s="763">
        <f t="shared" si="5"/>
        <v>0</v>
      </c>
      <c r="H46" s="763">
        <f t="shared" si="5"/>
        <v>6062.4606784954294</v>
      </c>
      <c r="I46" s="763">
        <f t="shared" si="5"/>
        <v>1456.1030108297393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7542.8791195018548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445.25628608800463</v>
      </c>
      <c r="D48" s="718">
        <f ca="1">+landbouw!C12</f>
        <v>0</v>
      </c>
      <c r="E48" s="718">
        <f>+landbouw!D12</f>
        <v>3.0275016640000003</v>
      </c>
      <c r="F48" s="718">
        <f>+landbouw!E12</f>
        <v>14.286249148104424</v>
      </c>
      <c r="G48" s="718">
        <f>+landbouw!F12</f>
        <v>2381.9188025759545</v>
      </c>
      <c r="H48" s="718">
        <f>+landbouw!G12</f>
        <v>0</v>
      </c>
      <c r="I48" s="718">
        <f>+landbouw!H12</f>
        <v>0</v>
      </c>
      <c r="J48" s="718">
        <f>+landbouw!I12</f>
        <v>0</v>
      </c>
      <c r="K48" s="718">
        <f>+landbouw!J12</f>
        <v>124.38284205545338</v>
      </c>
      <c r="L48" s="718">
        <f>+landbouw!K12</f>
        <v>0</v>
      </c>
      <c r="M48" s="718">
        <f>+landbouw!L12</f>
        <v>0</v>
      </c>
      <c r="N48" s="718">
        <f>+landbouw!M12</f>
        <v>0</v>
      </c>
      <c r="O48" s="718">
        <f>+landbouw!N12</f>
        <v>0</v>
      </c>
      <c r="P48" s="718">
        <f>+landbouw!O12</f>
        <v>0</v>
      </c>
      <c r="Q48" s="719">
        <f>+landbouw!P12</f>
        <v>0</v>
      </c>
      <c r="R48" s="761">
        <f ca="1">SUM(C48:Q48)</f>
        <v>2968.871681531517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3601.4889093805373</v>
      </c>
      <c r="D53" s="773">
        <f t="shared" ref="D53:Q53" ca="1" si="6">D41+D46+D48</f>
        <v>0</v>
      </c>
      <c r="E53" s="773">
        <f t="shared" ca="1" si="6"/>
        <v>1645.0332847640648</v>
      </c>
      <c r="F53" s="773">
        <f t="shared" si="6"/>
        <v>763.51472046493097</v>
      </c>
      <c r="G53" s="773">
        <f t="shared" ca="1" si="6"/>
        <v>13068.961964681333</v>
      </c>
      <c r="H53" s="773">
        <f t="shared" si="6"/>
        <v>6062.4606784954294</v>
      </c>
      <c r="I53" s="773">
        <f t="shared" si="6"/>
        <v>1456.1030108297393</v>
      </c>
      <c r="J53" s="773">
        <f t="shared" si="6"/>
        <v>0</v>
      </c>
      <c r="K53" s="773">
        <f t="shared" si="6"/>
        <v>617.91636740425076</v>
      </c>
      <c r="L53" s="773">
        <f t="shared" si="6"/>
        <v>0</v>
      </c>
      <c r="M53" s="773">
        <f t="shared" ca="1" si="6"/>
        <v>0</v>
      </c>
      <c r="N53" s="773">
        <f t="shared" si="6"/>
        <v>0</v>
      </c>
      <c r="O53" s="773">
        <f t="shared" ca="1" si="6"/>
        <v>0</v>
      </c>
      <c r="P53" s="773">
        <f>P41+P46+P48</f>
        <v>0</v>
      </c>
      <c r="Q53" s="774">
        <f t="shared" si="6"/>
        <v>0</v>
      </c>
      <c r="R53" s="775">
        <f ca="1">R41+R46+R48</f>
        <v>27215.478936020289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0.18243341063019855</v>
      </c>
      <c r="D55" s="836">
        <f t="shared" ca="1" si="7"/>
        <v>0</v>
      </c>
      <c r="E55" s="836">
        <f t="shared" ca="1" si="7"/>
        <v>0.20199999999999999</v>
      </c>
      <c r="F55" s="836">
        <f t="shared" si="7"/>
        <v>0.22699999999999998</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3445.0590030379576</v>
      </c>
      <c r="C66" s="795">
        <f>'lokale energieproductie'!B6</f>
        <v>3445.0590030379576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3445.0590030379576</v>
      </c>
      <c r="C69" s="803">
        <f>SUM(C64:C68)</f>
        <v>3445.0590030379576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11302.046807118566</v>
      </c>
      <c r="C4" s="478">
        <f>huishoudens!C8</f>
        <v>0</v>
      </c>
      <c r="D4" s="478">
        <f>huishoudens!D8</f>
        <v>6401.3108940000002</v>
      </c>
      <c r="E4" s="478">
        <f>huishoudens!E8</f>
        <v>3016.3683115958884</v>
      </c>
      <c r="F4" s="478">
        <f>huishoudens!F8</f>
        <v>38582.314309111847</v>
      </c>
      <c r="G4" s="478">
        <f>huishoudens!G8</f>
        <v>0</v>
      </c>
      <c r="H4" s="478">
        <f>huishoudens!H8</f>
        <v>0</v>
      </c>
      <c r="I4" s="478">
        <f>huishoudens!I8</f>
        <v>0</v>
      </c>
      <c r="J4" s="478">
        <f>huishoudens!J8</f>
        <v>1392.9561054414976</v>
      </c>
      <c r="K4" s="478">
        <f>huishoudens!K8</f>
        <v>0</v>
      </c>
      <c r="L4" s="478">
        <f>huishoudens!L8</f>
        <v>0</v>
      </c>
      <c r="M4" s="478">
        <f>huishoudens!M8</f>
        <v>0</v>
      </c>
      <c r="N4" s="478">
        <f>huishoudens!N8</f>
        <v>4217.4449061691594</v>
      </c>
      <c r="O4" s="478">
        <f>huishoudens!O8</f>
        <v>162.58666666666667</v>
      </c>
      <c r="P4" s="479">
        <f>huishoudens!P8</f>
        <v>762.66666666666674</v>
      </c>
      <c r="Q4" s="480">
        <f>SUM(B4:P4)</f>
        <v>65837.694666770301</v>
      </c>
    </row>
    <row r="5" spans="1:17">
      <c r="A5" s="477" t="s">
        <v>156</v>
      </c>
      <c r="B5" s="478">
        <f ca="1">tertiair!B16</f>
        <v>4082.7529999999997</v>
      </c>
      <c r="C5" s="478">
        <f ca="1">tertiair!C16</f>
        <v>0</v>
      </c>
      <c r="D5" s="478">
        <f ca="1">tertiair!D16</f>
        <v>1559.1962979999998</v>
      </c>
      <c r="E5" s="478">
        <f>tertiair!E16</f>
        <v>91.251164821850082</v>
      </c>
      <c r="F5" s="478">
        <f ca="1">tertiair!F16</f>
        <v>1014.5643247867313</v>
      </c>
      <c r="G5" s="478">
        <f>tertiair!G16</f>
        <v>0</v>
      </c>
      <c r="H5" s="478">
        <f>tertiair!H16</f>
        <v>0</v>
      </c>
      <c r="I5" s="478">
        <f>tertiair!I16</f>
        <v>0</v>
      </c>
      <c r="J5" s="478">
        <f>tertiair!J16</f>
        <v>0</v>
      </c>
      <c r="K5" s="478">
        <f>tertiair!K16</f>
        <v>0</v>
      </c>
      <c r="L5" s="478">
        <f ca="1">tertiair!L16</f>
        <v>0</v>
      </c>
      <c r="M5" s="478">
        <f>tertiair!M16</f>
        <v>0</v>
      </c>
      <c r="N5" s="478">
        <f ca="1">tertiair!N16</f>
        <v>326.23792326120326</v>
      </c>
      <c r="O5" s="478">
        <f>tertiair!O16</f>
        <v>3.1266666666666669</v>
      </c>
      <c r="P5" s="479">
        <f>tertiair!P16</f>
        <v>19.066666666666666</v>
      </c>
      <c r="Q5" s="477">
        <f t="shared" ref="Q5:Q13" ca="1" si="0">SUM(B5:P5)</f>
        <v>7096.1960442031168</v>
      </c>
    </row>
    <row r="6" spans="1:17">
      <c r="A6" s="477" t="s">
        <v>194</v>
      </c>
      <c r="B6" s="478">
        <f>'openbare verlichting'!B8</f>
        <v>374.69600000000003</v>
      </c>
      <c r="C6" s="478"/>
      <c r="D6" s="478"/>
      <c r="E6" s="478"/>
      <c r="F6" s="478"/>
      <c r="G6" s="478"/>
      <c r="H6" s="478"/>
      <c r="I6" s="478"/>
      <c r="J6" s="478"/>
      <c r="K6" s="478"/>
      <c r="L6" s="478"/>
      <c r="M6" s="478"/>
      <c r="N6" s="478"/>
      <c r="O6" s="478"/>
      <c r="P6" s="479"/>
      <c r="Q6" s="477">
        <f t="shared" si="0"/>
        <v>374.69600000000003</v>
      </c>
    </row>
    <row r="7" spans="1:17">
      <c r="A7" s="477" t="s">
        <v>112</v>
      </c>
      <c r="B7" s="478">
        <f>landbouw!B8</f>
        <v>2440.6509999999998</v>
      </c>
      <c r="C7" s="478">
        <f>landbouw!C8</f>
        <v>0</v>
      </c>
      <c r="D7" s="478">
        <f>landbouw!D8</f>
        <v>14.987632</v>
      </c>
      <c r="E7" s="478">
        <f>landbouw!E8</f>
        <v>62.935018273587772</v>
      </c>
      <c r="F7" s="478">
        <f>landbouw!F8</f>
        <v>8921.044204404323</v>
      </c>
      <c r="G7" s="478">
        <f>landbouw!G8</f>
        <v>0</v>
      </c>
      <c r="H7" s="478">
        <f>landbouw!H8</f>
        <v>0</v>
      </c>
      <c r="I7" s="478">
        <f>landbouw!I8</f>
        <v>0</v>
      </c>
      <c r="J7" s="478">
        <f>landbouw!J8</f>
        <v>351.3639606086254</v>
      </c>
      <c r="K7" s="478">
        <f>landbouw!K8</f>
        <v>0</v>
      </c>
      <c r="L7" s="478">
        <f>landbouw!L8</f>
        <v>0</v>
      </c>
      <c r="M7" s="478">
        <f>landbouw!M8</f>
        <v>0</v>
      </c>
      <c r="N7" s="478">
        <f>landbouw!N8</f>
        <v>0</v>
      </c>
      <c r="O7" s="478">
        <f>landbouw!O8</f>
        <v>0</v>
      </c>
      <c r="P7" s="479">
        <f>landbouw!P8</f>
        <v>0</v>
      </c>
      <c r="Q7" s="477">
        <f t="shared" si="0"/>
        <v>11790.981815286535</v>
      </c>
    </row>
    <row r="8" spans="1:17">
      <c r="A8" s="477" t="s">
        <v>638</v>
      </c>
      <c r="B8" s="478">
        <f>industrie!B18</f>
        <v>1534.162</v>
      </c>
      <c r="C8" s="478">
        <f>industrie!C18</f>
        <v>0</v>
      </c>
      <c r="D8" s="478">
        <f>industrie!D18</f>
        <v>146.07439000000002</v>
      </c>
      <c r="E8" s="478">
        <f>industrie!E18</f>
        <v>111.23951893264893</v>
      </c>
      <c r="F8" s="478">
        <f>industrie!F18</f>
        <v>429.50025039123523</v>
      </c>
      <c r="G8" s="478">
        <f>industrie!G18</f>
        <v>0</v>
      </c>
      <c r="H8" s="478">
        <f>industrie!H18</f>
        <v>0</v>
      </c>
      <c r="I8" s="478">
        <f>industrie!I18</f>
        <v>0</v>
      </c>
      <c r="J8" s="478">
        <f>industrie!J18</f>
        <v>1.2063955438057095</v>
      </c>
      <c r="K8" s="478">
        <f>industrie!K18</f>
        <v>0</v>
      </c>
      <c r="L8" s="478">
        <f>industrie!L18</f>
        <v>0</v>
      </c>
      <c r="M8" s="478">
        <f>industrie!M18</f>
        <v>0</v>
      </c>
      <c r="N8" s="478">
        <f>industrie!N18</f>
        <v>155.19977712946675</v>
      </c>
      <c r="O8" s="478">
        <f>industrie!O18</f>
        <v>0</v>
      </c>
      <c r="P8" s="479">
        <f>industrie!P18</f>
        <v>0</v>
      </c>
      <c r="Q8" s="477">
        <f t="shared" si="0"/>
        <v>2377.3823319971566</v>
      </c>
    </row>
    <row r="9" spans="1:17" s="483" customFormat="1">
      <c r="A9" s="481" t="s">
        <v>564</v>
      </c>
      <c r="B9" s="482">
        <f>transport!B14</f>
        <v>7.0801026186533482</v>
      </c>
      <c r="C9" s="482">
        <f>transport!C14</f>
        <v>0</v>
      </c>
      <c r="D9" s="482">
        <f>transport!D14</f>
        <v>22.159918495370341</v>
      </c>
      <c r="E9" s="482">
        <f>transport!E14</f>
        <v>81.7069575871745</v>
      </c>
      <c r="F9" s="482">
        <f>transport!F14</f>
        <v>0</v>
      </c>
      <c r="G9" s="482">
        <f>transport!G14</f>
        <v>22175.135964107729</v>
      </c>
      <c r="H9" s="482">
        <f>transport!H14</f>
        <v>5847.8032563443348</v>
      </c>
      <c r="I9" s="482">
        <f>transport!I14</f>
        <v>0</v>
      </c>
      <c r="J9" s="482">
        <f>transport!J14</f>
        <v>0</v>
      </c>
      <c r="K9" s="482">
        <f>transport!K14</f>
        <v>0</v>
      </c>
      <c r="L9" s="482">
        <f>transport!L14</f>
        <v>0</v>
      </c>
      <c r="M9" s="482">
        <f>transport!M14</f>
        <v>873.88423070531417</v>
      </c>
      <c r="N9" s="482">
        <f>transport!N14</f>
        <v>0</v>
      </c>
      <c r="O9" s="482">
        <f>transport!O14</f>
        <v>0</v>
      </c>
      <c r="P9" s="482">
        <f>transport!P14</f>
        <v>0</v>
      </c>
      <c r="Q9" s="481">
        <f>SUM(B9:P9)</f>
        <v>29007.770429858574</v>
      </c>
    </row>
    <row r="10" spans="1:17">
      <c r="A10" s="477" t="s">
        <v>554</v>
      </c>
      <c r="B10" s="478">
        <f>transport!B54</f>
        <v>0</v>
      </c>
      <c r="C10" s="478">
        <f>transport!C54</f>
        <v>0</v>
      </c>
      <c r="D10" s="478">
        <f>transport!D54</f>
        <v>0</v>
      </c>
      <c r="E10" s="478">
        <f>transport!E54</f>
        <v>0</v>
      </c>
      <c r="F10" s="478">
        <f>transport!F54</f>
        <v>0</v>
      </c>
      <c r="G10" s="478">
        <f>transport!G54</f>
        <v>530.70927370286779</v>
      </c>
      <c r="H10" s="478">
        <f>transport!H54</f>
        <v>0</v>
      </c>
      <c r="I10" s="478">
        <f>transport!I54</f>
        <v>0</v>
      </c>
      <c r="J10" s="478">
        <f>transport!J54</f>
        <v>0</v>
      </c>
      <c r="K10" s="478">
        <f>transport!K54</f>
        <v>0</v>
      </c>
      <c r="L10" s="478">
        <f>transport!L54</f>
        <v>0</v>
      </c>
      <c r="M10" s="478">
        <f>transport!M54</f>
        <v>16.461414376981825</v>
      </c>
      <c r="N10" s="478">
        <f>transport!N54</f>
        <v>0</v>
      </c>
      <c r="O10" s="478">
        <f>transport!O54</f>
        <v>0</v>
      </c>
      <c r="P10" s="479">
        <f>transport!P54</f>
        <v>0</v>
      </c>
      <c r="Q10" s="477">
        <f t="shared" si="0"/>
        <v>547.17068807984958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19741.388909737219</v>
      </c>
      <c r="C14" s="488">
        <f t="shared" ref="C14:Q14" ca="1" si="1">SUM(C4:C13)</f>
        <v>0</v>
      </c>
      <c r="D14" s="488">
        <f t="shared" ca="1" si="1"/>
        <v>8143.7291324953703</v>
      </c>
      <c r="E14" s="488">
        <f t="shared" si="1"/>
        <v>3363.50097121115</v>
      </c>
      <c r="F14" s="488">
        <f t="shared" ca="1" si="1"/>
        <v>48947.423088694137</v>
      </c>
      <c r="G14" s="488">
        <f t="shared" si="1"/>
        <v>22705.845237810598</v>
      </c>
      <c r="H14" s="488">
        <f t="shared" si="1"/>
        <v>5847.8032563443348</v>
      </c>
      <c r="I14" s="488">
        <f t="shared" si="1"/>
        <v>0</v>
      </c>
      <c r="J14" s="488">
        <f t="shared" si="1"/>
        <v>1745.5264615939286</v>
      </c>
      <c r="K14" s="488">
        <f t="shared" si="1"/>
        <v>0</v>
      </c>
      <c r="L14" s="488">
        <f t="shared" ca="1" si="1"/>
        <v>0</v>
      </c>
      <c r="M14" s="488">
        <f t="shared" si="1"/>
        <v>890.34564508229596</v>
      </c>
      <c r="N14" s="488">
        <f t="shared" ca="1" si="1"/>
        <v>4698.8826065598287</v>
      </c>
      <c r="O14" s="488">
        <f t="shared" si="1"/>
        <v>165.71333333333334</v>
      </c>
      <c r="P14" s="489">
        <f t="shared" si="1"/>
        <v>781.73333333333346</v>
      </c>
      <c r="Q14" s="489">
        <f t="shared" ca="1" si="1"/>
        <v>117031.89197619552</v>
      </c>
    </row>
    <row r="16" spans="1:17">
      <c r="A16" s="491" t="s">
        <v>559</v>
      </c>
      <c r="B16" s="841">
        <f ca="1">huishoudens!B10</f>
        <v>0.18243341063019852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2061.8709461247854</v>
      </c>
      <c r="C21" s="478">
        <f t="shared" ref="C21:C30" ca="1" si="3">C4*$C$16</f>
        <v>0</v>
      </c>
      <c r="D21" s="478">
        <f t="shared" ref="D21:D30" si="4">D4*$D$16</f>
        <v>1293.064800588</v>
      </c>
      <c r="E21" s="478">
        <f t="shared" ref="E21:E30" si="5">E4*$E$16</f>
        <v>684.71560673226668</v>
      </c>
      <c r="F21" s="478">
        <f t="shared" ref="F21:F30" si="6">F4*$F$16</f>
        <v>10301.477920532863</v>
      </c>
      <c r="G21" s="478">
        <f t="shared" ref="G21:G30" si="7">G4*$G$16</f>
        <v>0</v>
      </c>
      <c r="H21" s="478">
        <f t="shared" ref="H21:H30" si="8">H4*$H$16</f>
        <v>0</v>
      </c>
      <c r="I21" s="478">
        <f t="shared" ref="I21:I30" si="9">I4*$I$16</f>
        <v>0</v>
      </c>
      <c r="J21" s="478">
        <f t="shared" ref="J21:J30" si="10">J4*$J$16</f>
        <v>493.10646132629012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14834.235735304206</v>
      </c>
    </row>
    <row r="22" spans="1:17">
      <c r="A22" s="477" t="s">
        <v>156</v>
      </c>
      <c r="B22" s="478">
        <f t="shared" ca="1" si="2"/>
        <v>744.83055455067483</v>
      </c>
      <c r="C22" s="478">
        <f t="shared" ca="1" si="3"/>
        <v>0</v>
      </c>
      <c r="D22" s="478">
        <f t="shared" ca="1" si="4"/>
        <v>314.95765219599997</v>
      </c>
      <c r="E22" s="478">
        <f t="shared" si="5"/>
        <v>20.714014414559969</v>
      </c>
      <c r="F22" s="478">
        <f t="shared" ca="1" si="6"/>
        <v>270.88867471805725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1351.390895879292</v>
      </c>
    </row>
    <row r="23" spans="1:17">
      <c r="A23" s="477" t="s">
        <v>194</v>
      </c>
      <c r="B23" s="478">
        <f t="shared" ca="1" si="2"/>
        <v>68.357069229492865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68.357069229492865</v>
      </c>
    </row>
    <row r="24" spans="1:17">
      <c r="A24" s="477" t="s">
        <v>112</v>
      </c>
      <c r="B24" s="478">
        <f t="shared" ca="1" si="2"/>
        <v>445.25628608800463</v>
      </c>
      <c r="C24" s="478">
        <f t="shared" ca="1" si="3"/>
        <v>0</v>
      </c>
      <c r="D24" s="478">
        <f t="shared" si="4"/>
        <v>3.0275016640000003</v>
      </c>
      <c r="E24" s="478">
        <f t="shared" si="5"/>
        <v>14.286249148104424</v>
      </c>
      <c r="F24" s="478">
        <f t="shared" si="6"/>
        <v>2381.9188025759545</v>
      </c>
      <c r="G24" s="478">
        <f t="shared" si="7"/>
        <v>0</v>
      </c>
      <c r="H24" s="478">
        <f t="shared" si="8"/>
        <v>0</v>
      </c>
      <c r="I24" s="478">
        <f t="shared" si="9"/>
        <v>0</v>
      </c>
      <c r="J24" s="478">
        <f t="shared" si="10"/>
        <v>124.38284205545338</v>
      </c>
      <c r="K24" s="478">
        <f t="shared" si="11"/>
        <v>0</v>
      </c>
      <c r="L24" s="478">
        <f t="shared" si="12"/>
        <v>0</v>
      </c>
      <c r="M24" s="478">
        <f t="shared" si="13"/>
        <v>0</v>
      </c>
      <c r="N24" s="478">
        <f t="shared" si="14"/>
        <v>0</v>
      </c>
      <c r="O24" s="478">
        <f t="shared" si="15"/>
        <v>0</v>
      </c>
      <c r="P24" s="479">
        <f t="shared" si="16"/>
        <v>0</v>
      </c>
      <c r="Q24" s="477">
        <f t="shared" ca="1" si="17"/>
        <v>2968.871681531517</v>
      </c>
    </row>
    <row r="25" spans="1:17">
      <c r="A25" s="477" t="s">
        <v>638</v>
      </c>
      <c r="B25" s="478">
        <f t="shared" ca="1" si="2"/>
        <v>279.88240611924664</v>
      </c>
      <c r="C25" s="478">
        <f t="shared" ca="1" si="3"/>
        <v>0</v>
      </c>
      <c r="D25" s="478">
        <f t="shared" si="4"/>
        <v>29.507026780000007</v>
      </c>
      <c r="E25" s="478">
        <f t="shared" si="5"/>
        <v>25.25137079771131</v>
      </c>
      <c r="F25" s="478">
        <f t="shared" si="6"/>
        <v>114.67656685445981</v>
      </c>
      <c r="G25" s="478">
        <f t="shared" si="7"/>
        <v>0</v>
      </c>
      <c r="H25" s="478">
        <f t="shared" si="8"/>
        <v>0</v>
      </c>
      <c r="I25" s="478">
        <f t="shared" si="9"/>
        <v>0</v>
      </c>
      <c r="J25" s="478">
        <f t="shared" si="10"/>
        <v>0.42706402250722114</v>
      </c>
      <c r="K25" s="478">
        <f t="shared" si="11"/>
        <v>0</v>
      </c>
      <c r="L25" s="478">
        <f t="shared" si="12"/>
        <v>0</v>
      </c>
      <c r="M25" s="478">
        <f t="shared" si="13"/>
        <v>0</v>
      </c>
      <c r="N25" s="478">
        <f t="shared" si="14"/>
        <v>0</v>
      </c>
      <c r="O25" s="478">
        <f t="shared" si="15"/>
        <v>0</v>
      </c>
      <c r="P25" s="479">
        <f t="shared" si="16"/>
        <v>0</v>
      </c>
      <c r="Q25" s="477">
        <f t="shared" ca="1" si="17"/>
        <v>449.74443457392499</v>
      </c>
    </row>
    <row r="26" spans="1:17" s="483" customFormat="1">
      <c r="A26" s="481" t="s">
        <v>564</v>
      </c>
      <c r="B26" s="835">
        <f t="shared" ca="1" si="2"/>
        <v>1.29164726833273</v>
      </c>
      <c r="C26" s="482">
        <f t="shared" ca="1" si="3"/>
        <v>0</v>
      </c>
      <c r="D26" s="482">
        <f t="shared" si="4"/>
        <v>4.4763035360648091</v>
      </c>
      <c r="E26" s="482">
        <f t="shared" si="5"/>
        <v>18.547479372288613</v>
      </c>
      <c r="F26" s="482">
        <f t="shared" si="6"/>
        <v>0</v>
      </c>
      <c r="G26" s="482">
        <f t="shared" si="7"/>
        <v>5920.761302416764</v>
      </c>
      <c r="H26" s="482">
        <f t="shared" si="8"/>
        <v>1456.1030108297393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7401.1797434231894</v>
      </c>
    </row>
    <row r="27" spans="1:17">
      <c r="A27" s="477" t="s">
        <v>554</v>
      </c>
      <c r="B27" s="478">
        <f t="shared" ca="1" si="2"/>
        <v>0</v>
      </c>
      <c r="C27" s="478">
        <f t="shared" ca="1" si="3"/>
        <v>0</v>
      </c>
      <c r="D27" s="478">
        <f t="shared" si="4"/>
        <v>0</v>
      </c>
      <c r="E27" s="478">
        <f t="shared" si="5"/>
        <v>0</v>
      </c>
      <c r="F27" s="478">
        <f t="shared" si="6"/>
        <v>0</v>
      </c>
      <c r="G27" s="478">
        <f t="shared" si="7"/>
        <v>141.69937607866572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141.69937607866572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3601.4889093805373</v>
      </c>
      <c r="C31" s="488">
        <f t="shared" ca="1" si="18"/>
        <v>0</v>
      </c>
      <c r="D31" s="488">
        <f t="shared" ca="1" si="18"/>
        <v>1645.0332847640648</v>
      </c>
      <c r="E31" s="488">
        <f t="shared" si="18"/>
        <v>763.51472046493097</v>
      </c>
      <c r="F31" s="488">
        <f t="shared" ca="1" si="18"/>
        <v>13068.961964681333</v>
      </c>
      <c r="G31" s="488">
        <f t="shared" si="18"/>
        <v>6062.4606784954294</v>
      </c>
      <c r="H31" s="488">
        <f t="shared" si="18"/>
        <v>1456.1030108297393</v>
      </c>
      <c r="I31" s="488">
        <f t="shared" si="18"/>
        <v>0</v>
      </c>
      <c r="J31" s="488">
        <f t="shared" si="18"/>
        <v>617.91636740425076</v>
      </c>
      <c r="K31" s="488">
        <f t="shared" si="18"/>
        <v>0</v>
      </c>
      <c r="L31" s="488">
        <f t="shared" ca="1" si="18"/>
        <v>0</v>
      </c>
      <c r="M31" s="488">
        <f t="shared" si="18"/>
        <v>0</v>
      </c>
      <c r="N31" s="488">
        <f t="shared" ca="1" si="18"/>
        <v>0</v>
      </c>
      <c r="O31" s="488">
        <f t="shared" si="18"/>
        <v>0</v>
      </c>
      <c r="P31" s="489">
        <f t="shared" si="18"/>
        <v>0</v>
      </c>
      <c r="Q31" s="489">
        <f t="shared" ca="1" si="18"/>
        <v>27215.478936020285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0.18243341063019852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0.18243341063019852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0.18243341063019852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24028</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2444</v>
      </c>
      <c r="C9" s="342">
        <v>2473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2265.64</v>
      </c>
    </row>
    <row r="15" spans="1:6">
      <c r="A15" s="348" t="s">
        <v>184</v>
      </c>
      <c r="B15" s="334">
        <v>2423</v>
      </c>
    </row>
    <row r="16" spans="1:6">
      <c r="A16" s="348" t="s">
        <v>6</v>
      </c>
      <c r="B16" s="334">
        <v>333</v>
      </c>
    </row>
    <row r="17" spans="1:6">
      <c r="A17" s="348" t="s">
        <v>7</v>
      </c>
      <c r="B17" s="334">
        <v>558</v>
      </c>
    </row>
    <row r="18" spans="1:6">
      <c r="A18" s="348" t="s">
        <v>8</v>
      </c>
      <c r="B18" s="334">
        <v>704</v>
      </c>
    </row>
    <row r="19" spans="1:6">
      <c r="A19" s="348" t="s">
        <v>9</v>
      </c>
      <c r="B19" s="334">
        <v>580</v>
      </c>
    </row>
    <row r="20" spans="1:6">
      <c r="A20" s="348" t="s">
        <v>10</v>
      </c>
      <c r="B20" s="334">
        <v>398</v>
      </c>
    </row>
    <row r="21" spans="1:6">
      <c r="A21" s="348" t="s">
        <v>11</v>
      </c>
      <c r="B21" s="334">
        <v>0</v>
      </c>
    </row>
    <row r="22" spans="1:6">
      <c r="A22" s="348" t="s">
        <v>12</v>
      </c>
      <c r="B22" s="334">
        <v>730</v>
      </c>
    </row>
    <row r="23" spans="1:6">
      <c r="A23" s="348" t="s">
        <v>13</v>
      </c>
      <c r="B23" s="334">
        <v>0</v>
      </c>
    </row>
    <row r="24" spans="1:6">
      <c r="A24" s="348" t="s">
        <v>14</v>
      </c>
      <c r="B24" s="334">
        <v>0</v>
      </c>
    </row>
    <row r="25" spans="1:6">
      <c r="A25" s="348" t="s">
        <v>15</v>
      </c>
      <c r="B25" s="334">
        <v>0</v>
      </c>
    </row>
    <row r="26" spans="1:6">
      <c r="A26" s="348" t="s">
        <v>16</v>
      </c>
      <c r="B26" s="334">
        <v>96</v>
      </c>
    </row>
    <row r="27" spans="1:6">
      <c r="A27" s="348" t="s">
        <v>17</v>
      </c>
      <c r="B27" s="334">
        <v>1</v>
      </c>
    </row>
    <row r="28" spans="1:6" s="356" customFormat="1">
      <c r="A28" s="355" t="s">
        <v>18</v>
      </c>
      <c r="B28" s="355">
        <v>46259</v>
      </c>
    </row>
    <row r="29" spans="1:6">
      <c r="A29" s="355" t="s">
        <v>812</v>
      </c>
      <c r="B29" s="355">
        <v>73</v>
      </c>
      <c r="C29" s="356"/>
      <c r="D29" s="356"/>
      <c r="E29" s="356"/>
      <c r="F29" s="356"/>
    </row>
    <row r="30" spans="1:6">
      <c r="A30" s="355" t="s">
        <v>813</v>
      </c>
      <c r="B30" s="341">
        <v>16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417</v>
      </c>
      <c r="D39" s="334">
        <v>7096797</v>
      </c>
      <c r="E39" s="334">
        <v>2355</v>
      </c>
      <c r="F39" s="334">
        <v>9241277</v>
      </c>
    </row>
    <row r="40" spans="1:6">
      <c r="A40" s="348" t="s">
        <v>30</v>
      </c>
      <c r="B40" s="348" t="s">
        <v>29</v>
      </c>
      <c r="C40" s="334">
        <v>0</v>
      </c>
      <c r="D40" s="334">
        <v>0</v>
      </c>
      <c r="E40" s="334">
        <v>0</v>
      </c>
      <c r="F40" s="334">
        <v>0</v>
      </c>
    </row>
    <row r="41" spans="1:6">
      <c r="A41" s="348" t="s">
        <v>32</v>
      </c>
      <c r="B41" s="348" t="s">
        <v>33</v>
      </c>
      <c r="C41" s="334">
        <v>7</v>
      </c>
      <c r="D41" s="334">
        <v>141609</v>
      </c>
      <c r="E41" s="334">
        <v>51</v>
      </c>
      <c r="F41" s="334">
        <v>390943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20266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20336</v>
      </c>
      <c r="E48" s="334">
        <v>3</v>
      </c>
      <c r="F48" s="334">
        <v>148807</v>
      </c>
    </row>
    <row r="49" spans="1:6">
      <c r="A49" s="348" t="s">
        <v>32</v>
      </c>
      <c r="B49" s="348" t="s">
        <v>40</v>
      </c>
      <c r="C49" s="334">
        <v>0</v>
      </c>
      <c r="D49" s="334">
        <v>0</v>
      </c>
      <c r="E49" s="334">
        <v>3</v>
      </c>
      <c r="F49" s="334">
        <v>974146</v>
      </c>
    </row>
    <row r="50" spans="1:6">
      <c r="A50" s="348" t="s">
        <v>32</v>
      </c>
      <c r="B50" s="348" t="s">
        <v>41</v>
      </c>
      <c r="C50" s="334">
        <v>0</v>
      </c>
      <c r="D50" s="334">
        <v>0</v>
      </c>
      <c r="E50" s="334">
        <v>0</v>
      </c>
      <c r="F50" s="334">
        <v>0</v>
      </c>
    </row>
    <row r="51" spans="1:6">
      <c r="A51" s="348" t="s">
        <v>42</v>
      </c>
      <c r="B51" s="348" t="s">
        <v>43</v>
      </c>
      <c r="C51" s="334">
        <v>0</v>
      </c>
      <c r="D51" s="334">
        <v>0</v>
      </c>
      <c r="E51" s="334">
        <v>85</v>
      </c>
      <c r="F51" s="334">
        <v>2428635</v>
      </c>
    </row>
    <row r="52" spans="1:6">
      <c r="A52" s="348" t="s">
        <v>42</v>
      </c>
      <c r="B52" s="348" t="s">
        <v>29</v>
      </c>
      <c r="C52" s="334">
        <v>0</v>
      </c>
      <c r="D52" s="334">
        <v>16616</v>
      </c>
      <c r="E52" s="334">
        <v>0</v>
      </c>
      <c r="F52" s="334">
        <v>12016</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374696</v>
      </c>
    </row>
    <row r="56" spans="1:6">
      <c r="A56" s="348" t="s">
        <v>48</v>
      </c>
      <c r="B56" s="348" t="s">
        <v>29</v>
      </c>
      <c r="C56" s="334">
        <v>6</v>
      </c>
      <c r="D56" s="334">
        <v>110118</v>
      </c>
      <c r="E56" s="334">
        <v>42</v>
      </c>
      <c r="F56" s="334">
        <v>333679</v>
      </c>
    </row>
    <row r="57" spans="1:6">
      <c r="A57" s="348" t="s">
        <v>49</v>
      </c>
      <c r="B57" s="348" t="s">
        <v>50</v>
      </c>
      <c r="C57" s="334">
        <v>8</v>
      </c>
      <c r="D57" s="334">
        <v>213606</v>
      </c>
      <c r="E57" s="334">
        <v>27</v>
      </c>
      <c r="F57" s="334">
        <v>404365</v>
      </c>
    </row>
    <row r="58" spans="1:6">
      <c r="A58" s="348" t="s">
        <v>49</v>
      </c>
      <c r="B58" s="348" t="s">
        <v>51</v>
      </c>
      <c r="C58" s="334">
        <v>3</v>
      </c>
      <c r="D58" s="334">
        <v>40232</v>
      </c>
      <c r="E58" s="334">
        <v>4</v>
      </c>
      <c r="F58" s="334">
        <v>365577</v>
      </c>
    </row>
    <row r="59" spans="1:6">
      <c r="A59" s="348" t="s">
        <v>49</v>
      </c>
      <c r="B59" s="348" t="s">
        <v>52</v>
      </c>
      <c r="C59" s="334">
        <v>6</v>
      </c>
      <c r="D59" s="334">
        <v>162539</v>
      </c>
      <c r="E59" s="334">
        <v>66</v>
      </c>
      <c r="F59" s="334">
        <v>1944521</v>
      </c>
    </row>
    <row r="60" spans="1:6">
      <c r="A60" s="348" t="s">
        <v>49</v>
      </c>
      <c r="B60" s="348" t="s">
        <v>53</v>
      </c>
      <c r="C60" s="334">
        <v>7</v>
      </c>
      <c r="D60" s="334">
        <v>635188</v>
      </c>
      <c r="E60" s="334">
        <v>20</v>
      </c>
      <c r="F60" s="334">
        <v>602372</v>
      </c>
    </row>
    <row r="61" spans="1:6">
      <c r="A61" s="348" t="s">
        <v>49</v>
      </c>
      <c r="B61" s="348" t="s">
        <v>54</v>
      </c>
      <c r="C61" s="334">
        <v>17</v>
      </c>
      <c r="D61" s="334">
        <v>557901</v>
      </c>
      <c r="E61" s="334">
        <v>91</v>
      </c>
      <c r="F61" s="334">
        <v>700833</v>
      </c>
    </row>
    <row r="62" spans="1:6">
      <c r="A62" s="348" t="s">
        <v>49</v>
      </c>
      <c r="B62" s="348" t="s">
        <v>55</v>
      </c>
      <c r="C62" s="334">
        <v>0</v>
      </c>
      <c r="D62" s="334">
        <v>0</v>
      </c>
      <c r="E62" s="334">
        <v>4</v>
      </c>
      <c r="F62" s="334">
        <v>65085</v>
      </c>
    </row>
    <row r="63" spans="1:6">
      <c r="A63" s="348" t="s">
        <v>49</v>
      </c>
      <c r="B63" s="348" t="s">
        <v>29</v>
      </c>
      <c r="C63" s="334">
        <v>0</v>
      </c>
      <c r="D63" s="334">
        <v>119133</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8418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7663493</v>
      </c>
      <c r="E73" s="476">
        <v>7875844.8353397381</v>
      </c>
    </row>
    <row r="74" spans="1:6">
      <c r="A74" s="348" t="s">
        <v>64</v>
      </c>
      <c r="B74" s="348" t="s">
        <v>667</v>
      </c>
      <c r="C74" s="1212" t="s">
        <v>669</v>
      </c>
      <c r="D74" s="476">
        <v>424415.70640392619</v>
      </c>
      <c r="E74" s="476">
        <v>437099.77907885425</v>
      </c>
    </row>
    <row r="75" spans="1:6">
      <c r="A75" s="348" t="s">
        <v>65</v>
      </c>
      <c r="B75" s="348" t="s">
        <v>666</v>
      </c>
      <c r="C75" s="1212" t="s">
        <v>670</v>
      </c>
      <c r="D75" s="476">
        <v>22550070</v>
      </c>
      <c r="E75" s="476">
        <v>23126431.612027094</v>
      </c>
    </row>
    <row r="76" spans="1:6">
      <c r="A76" s="348" t="s">
        <v>65</v>
      </c>
      <c r="B76" s="348" t="s">
        <v>667</v>
      </c>
      <c r="C76" s="1212" t="s">
        <v>671</v>
      </c>
      <c r="D76" s="476">
        <v>789779.70640392625</v>
      </c>
      <c r="E76" s="476">
        <v>808157.09080653475</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146962.58719214762</v>
      </c>
      <c r="C83" s="476">
        <v>146962.58719214762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2060.7698071185664</v>
      </c>
    </row>
    <row r="92" spans="1:6">
      <c r="A92" s="341" t="s">
        <v>69</v>
      </c>
      <c r="B92" s="342">
        <v>1384.2891959193912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65</v>
      </c>
    </row>
    <row r="100" spans="1:6">
      <c r="A100" s="348" t="s">
        <v>74</v>
      </c>
      <c r="B100" s="334">
        <v>77</v>
      </c>
    </row>
    <row r="101" spans="1:6">
      <c r="A101" s="348" t="s">
        <v>75</v>
      </c>
      <c r="B101" s="334">
        <v>32</v>
      </c>
    </row>
    <row r="102" spans="1:6">
      <c r="A102" s="348" t="s">
        <v>76</v>
      </c>
      <c r="B102" s="334">
        <v>32</v>
      </c>
    </row>
    <row r="103" spans="1:6">
      <c r="A103" s="348" t="s">
        <v>77</v>
      </c>
      <c r="B103" s="334">
        <v>84</v>
      </c>
    </row>
    <row r="104" spans="1:6">
      <c r="A104" s="348" t="s">
        <v>78</v>
      </c>
      <c r="B104" s="334">
        <v>1936</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26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2</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19741.388909737216</v>
      </c>
      <c r="C3" s="43" t="s">
        <v>170</v>
      </c>
      <c r="D3" s="43"/>
      <c r="E3" s="154"/>
      <c r="F3" s="43"/>
      <c r="G3" s="43"/>
      <c r="H3" s="43"/>
      <c r="I3" s="43"/>
      <c r="J3" s="43"/>
      <c r="K3" s="96"/>
    </row>
    <row r="4" spans="1:11">
      <c r="A4" s="383" t="s">
        <v>171</v>
      </c>
      <c r="B4" s="49">
        <f>IF(ISERROR('SEAP template'!B69),0,'SEAP template'!B69)</f>
        <v>3445.0590030379576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0.18243341063019852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374.69600000000003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374.69600000000003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0.18243341063019852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68.357069229492865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9241.277</v>
      </c>
      <c r="C5" s="17">
        <f>IF(ISERROR('Eigen informatie GS &amp; warmtenet'!B57),0,'Eigen informatie GS &amp; warmtenet'!B57)</f>
        <v>0</v>
      </c>
      <c r="D5" s="30">
        <f>(SUM(HH_hh_gas_kWh,HH_rest_gas_kWh)/1000)*0.902</f>
        <v>6401.3108940000002</v>
      </c>
      <c r="E5" s="17">
        <f>B46*B57</f>
        <v>3016.3683115958884</v>
      </c>
      <c r="F5" s="17">
        <f>B51*B62</f>
        <v>38582.314309111847</v>
      </c>
      <c r="G5" s="18"/>
      <c r="H5" s="17"/>
      <c r="I5" s="17"/>
      <c r="J5" s="17">
        <f>B50*B61+C50*C61</f>
        <v>1392.9561054414976</v>
      </c>
      <c r="K5" s="17"/>
      <c r="L5" s="17"/>
      <c r="M5" s="17"/>
      <c r="N5" s="17">
        <f>B48*B59+C48*C59</f>
        <v>4217.4449061691594</v>
      </c>
      <c r="O5" s="17">
        <f>B69*B70*B71</f>
        <v>162.58666666666667</v>
      </c>
      <c r="P5" s="17">
        <f>B77*B78*B79/1000-B77*B78*B79/1000/B80</f>
        <v>762.66666666666674</v>
      </c>
    </row>
    <row r="6" spans="1:16">
      <c r="A6" s="16" t="s">
        <v>624</v>
      </c>
      <c r="B6" s="843">
        <f>kWh_PV_kleiner_dan_10kW</f>
        <v>2060.7698071185664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11302.046807118566</v>
      </c>
      <c r="C8" s="21">
        <f>C5</f>
        <v>0</v>
      </c>
      <c r="D8" s="21">
        <f>D5</f>
        <v>6401.3108940000002</v>
      </c>
      <c r="E8" s="21">
        <f>E5</f>
        <v>3016.3683115958884</v>
      </c>
      <c r="F8" s="21">
        <f>F5</f>
        <v>38582.314309111847</v>
      </c>
      <c r="G8" s="21"/>
      <c r="H8" s="21"/>
      <c r="I8" s="21"/>
      <c r="J8" s="21">
        <f>J5</f>
        <v>1392.9561054414976</v>
      </c>
      <c r="K8" s="21"/>
      <c r="L8" s="21">
        <f>L5</f>
        <v>0</v>
      </c>
      <c r="M8" s="21">
        <f>M5</f>
        <v>0</v>
      </c>
      <c r="N8" s="21">
        <f>N5</f>
        <v>4217.4449061691594</v>
      </c>
      <c r="O8" s="21">
        <f>O5</f>
        <v>162.58666666666667</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0.18243341063019852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2061.8709461247854</v>
      </c>
      <c r="C12" s="23">
        <f ca="1">C10*C8</f>
        <v>0</v>
      </c>
      <c r="D12" s="23">
        <f>D8*D10</f>
        <v>1293.064800588</v>
      </c>
      <c r="E12" s="23">
        <f>E10*E8</f>
        <v>684.71560673226668</v>
      </c>
      <c r="F12" s="23">
        <f>F10*F8</f>
        <v>10301.477920532863</v>
      </c>
      <c r="G12" s="23"/>
      <c r="H12" s="23"/>
      <c r="I12" s="23"/>
      <c r="J12" s="23">
        <f>J10*J8</f>
        <v>493.10646132629012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65</v>
      </c>
      <c r="C20" s="167">
        <f>IF(ISERROR(B20/SUM($B$20,$B$21,$B$22)*100),0,B20/SUM($B$20,$B$21,$B$22)*100)</f>
        <v>37.356321839080458</v>
      </c>
      <c r="D20" s="229"/>
      <c r="E20" s="15"/>
    </row>
    <row r="21" spans="1:7">
      <c r="A21" s="171" t="s">
        <v>74</v>
      </c>
      <c r="B21" s="37">
        <f>aantalw2001_elektriciteit</f>
        <v>77</v>
      </c>
      <c r="C21" s="167">
        <f>IF(ISERROR(B21/SUM($B$20,$B$21,$B$22)*100),0,B21/SUM($B$20,$B$21,$B$22)*100)</f>
        <v>44.252873563218394</v>
      </c>
      <c r="D21" s="229"/>
      <c r="E21" s="15"/>
    </row>
    <row r="22" spans="1:7">
      <c r="A22" s="171" t="s">
        <v>75</v>
      </c>
      <c r="B22" s="37">
        <f>aantalw2001_hout</f>
        <v>32</v>
      </c>
      <c r="C22" s="167">
        <f>IF(ISERROR(B22/SUM($B$20,$B$21,$B$22)*100),0,B22/SUM($B$20,$B$21,$B$22)*100)</f>
        <v>18.390804597701148</v>
      </c>
      <c r="D22" s="229"/>
      <c r="E22" s="15"/>
    </row>
    <row r="23" spans="1:7">
      <c r="A23" s="171" t="s">
        <v>76</v>
      </c>
      <c r="B23" s="37">
        <f>aantalw2001_niet_gespec</f>
        <v>32</v>
      </c>
      <c r="C23" s="166" t="s">
        <v>111</v>
      </c>
      <c r="D23" s="228"/>
      <c r="E23" s="15"/>
    </row>
    <row r="24" spans="1:7">
      <c r="A24" s="171" t="s">
        <v>77</v>
      </c>
      <c r="B24" s="37">
        <f>aantalw2001_steenkool</f>
        <v>84</v>
      </c>
      <c r="C24" s="166" t="s">
        <v>111</v>
      </c>
      <c r="D24" s="229"/>
      <c r="E24" s="15"/>
    </row>
    <row r="25" spans="1:7">
      <c r="A25" s="171" t="s">
        <v>78</v>
      </c>
      <c r="B25" s="37">
        <f>aantalw2001_stookolie</f>
        <v>1936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2444</v>
      </c>
      <c r="C28" s="36"/>
      <c r="D28" s="228"/>
    </row>
    <row r="29" spans="1:7" s="15" customFormat="1">
      <c r="A29" s="230" t="s">
        <v>699</v>
      </c>
      <c r="B29" s="37">
        <f>SUM(HH_hh_gas_aantal,HH_rest_gas_aantal)</f>
        <v>417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417</v>
      </c>
      <c r="C32" s="167">
        <f>IF(ISERROR(B32/SUM($B$32,$B$34,$B$35,$B$36,$B$38,$B$39)*100),0,B32/SUM($B$32,$B$34,$B$35,$B$36,$B$38,$B$39)*100)</f>
        <v>17.346089850249584</v>
      </c>
      <c r="D32" s="233"/>
      <c r="G32" s="15"/>
    </row>
    <row r="33" spans="1:7">
      <c r="A33" s="171" t="s">
        <v>72</v>
      </c>
      <c r="B33" s="34" t="s">
        <v>111</v>
      </c>
      <c r="C33" s="167"/>
      <c r="D33" s="233"/>
      <c r="G33" s="15"/>
    </row>
    <row r="34" spans="1:7">
      <c r="A34" s="171" t="s">
        <v>73</v>
      </c>
      <c r="B34" s="33">
        <f>IF((($B$28-$B$32-$B$39-$B$77-$B$38)*C20/100)&lt;0,0,($B$28-$B$32-$B$39-$B$77-$B$38)*C20/100)</f>
        <v>133.36206896551724</v>
      </c>
      <c r="C34" s="167">
        <f>IF(ISERROR(B34/SUM($B$32,$B$34,$B$35,$B$36,$B$38,$B$39)*100),0,B34/SUM($B$32,$B$34,$B$35,$B$36,$B$38,$B$39)*100)</f>
        <v>5.5475070285156924</v>
      </c>
      <c r="D34" s="233"/>
      <c r="G34" s="15"/>
    </row>
    <row r="35" spans="1:7">
      <c r="A35" s="171" t="s">
        <v>74</v>
      </c>
      <c r="B35" s="33">
        <f>IF((($B$28-$B$32-$B$39-$B$77-$B$38)*C21/100)&lt;0,0,($B$28-$B$32-$B$39-$B$77-$B$38)*C21/100)</f>
        <v>157.98275862068968</v>
      </c>
      <c r="C35" s="167">
        <f>IF(ISERROR(B35/SUM($B$32,$B$34,$B$35,$B$36,$B$38,$B$39)*100),0,B35/SUM($B$32,$B$34,$B$35,$B$36,$B$38,$B$39)*100)</f>
        <v>6.571662172241667</v>
      </c>
      <c r="D35" s="233"/>
      <c r="G35" s="15"/>
    </row>
    <row r="36" spans="1:7">
      <c r="A36" s="171" t="s">
        <v>75</v>
      </c>
      <c r="B36" s="33">
        <f>IF((($B$28-$B$32-$B$39-$B$77-$B$38)*C22/100)&lt;0,0,($B$28-$B$32-$B$39-$B$77-$B$38)*C22/100)</f>
        <v>65.655172413793096</v>
      </c>
      <c r="C36" s="167">
        <f>IF(ISERROR(B36/SUM($B$32,$B$34,$B$35,$B$36,$B$38,$B$39)*100),0,B36/SUM($B$32,$B$34,$B$35,$B$36,$B$38,$B$39)*100)</f>
        <v>2.7310803832692634</v>
      </c>
      <c r="D36" s="233"/>
      <c r="G36" s="15"/>
    </row>
    <row r="37" spans="1:7">
      <c r="A37" s="171" t="s">
        <v>76</v>
      </c>
      <c r="B37" s="34" t="s">
        <v>111</v>
      </c>
      <c r="C37" s="167"/>
      <c r="D37" s="173"/>
      <c r="G37" s="15"/>
    </row>
    <row r="38" spans="1:7">
      <c r="A38" s="171" t="s">
        <v>77</v>
      </c>
      <c r="B38" s="33">
        <f>IF((B24-(B29-B18)*0.1)&lt;0,0,B24-(B29-B18)*0.1)</f>
        <v>45</v>
      </c>
      <c r="C38" s="167">
        <f>IF(ISERROR(B38/SUM($B$32,$B$34,$B$35,$B$36,$B$38,$B$39)*100),0,B38/SUM($B$32,$B$34,$B$35,$B$36,$B$38,$B$39)*100)</f>
        <v>1.8718801996672214</v>
      </c>
      <c r="D38" s="234"/>
      <c r="G38" s="15"/>
    </row>
    <row r="39" spans="1:7">
      <c r="A39" s="171" t="s">
        <v>78</v>
      </c>
      <c r="B39" s="33">
        <f>IF((B25-(B29-B18))&lt;0,0,B25-(B29-B18)*0.9)</f>
        <v>1585</v>
      </c>
      <c r="C39" s="167">
        <f>IF(ISERROR(B39/SUM($B$32,$B$34,$B$35,$B$36,$B$38,$B$39)*100),0,B39/SUM($B$32,$B$34,$B$35,$B$36,$B$38,$B$39)*100)</f>
        <v>65.931780366056572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417</v>
      </c>
      <c r="C44" s="34" t="s">
        <v>111</v>
      </c>
      <c r="D44" s="174"/>
    </row>
    <row r="45" spans="1:7">
      <c r="A45" s="171" t="s">
        <v>72</v>
      </c>
      <c r="B45" s="33" t="str">
        <f t="shared" si="0"/>
        <v>-</v>
      </c>
      <c r="C45" s="34" t="s">
        <v>111</v>
      </c>
      <c r="D45" s="174"/>
    </row>
    <row r="46" spans="1:7">
      <c r="A46" s="171" t="s">
        <v>73</v>
      </c>
      <c r="B46" s="33">
        <f t="shared" si="0"/>
        <v>133.36206896551724</v>
      </c>
      <c r="C46" s="34" t="s">
        <v>111</v>
      </c>
      <c r="D46" s="174"/>
    </row>
    <row r="47" spans="1:7">
      <c r="A47" s="171" t="s">
        <v>74</v>
      </c>
      <c r="B47" s="33">
        <f t="shared" si="0"/>
        <v>157.98275862068968</v>
      </c>
      <c r="C47" s="34" t="s">
        <v>111</v>
      </c>
      <c r="D47" s="174"/>
    </row>
    <row r="48" spans="1:7">
      <c r="A48" s="171" t="s">
        <v>75</v>
      </c>
      <c r="B48" s="33">
        <f t="shared" si="0"/>
        <v>65.655172413793096</v>
      </c>
      <c r="C48" s="33">
        <f>B48*10</f>
        <v>656.55172413793093</v>
      </c>
      <c r="D48" s="234"/>
    </row>
    <row r="49" spans="1:6">
      <c r="A49" s="171" t="s">
        <v>76</v>
      </c>
      <c r="B49" s="33" t="str">
        <f t="shared" si="0"/>
        <v>-</v>
      </c>
      <c r="C49" s="34" t="s">
        <v>111</v>
      </c>
      <c r="D49" s="234"/>
    </row>
    <row r="50" spans="1:6">
      <c r="A50" s="171" t="s">
        <v>77</v>
      </c>
      <c r="B50" s="33">
        <f t="shared" si="0"/>
        <v>45</v>
      </c>
      <c r="C50" s="33">
        <f>B50*2</f>
        <v>90</v>
      </c>
      <c r="D50" s="234"/>
    </row>
    <row r="51" spans="1:6">
      <c r="A51" s="171" t="s">
        <v>78</v>
      </c>
      <c r="B51" s="33">
        <f t="shared" si="0"/>
        <v>1585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4082.7529999999997</v>
      </c>
      <c r="C5" s="17">
        <f>IF(ISERROR('Eigen informatie GS &amp; warmtenet'!B58),0,'Eigen informatie GS &amp; warmtenet'!B58)</f>
        <v>0</v>
      </c>
      <c r="D5" s="30">
        <f>SUM(D6:D12)</f>
        <v>1559.1962979999998</v>
      </c>
      <c r="E5" s="17">
        <f>SUM(E6:E12)</f>
        <v>91.251164821850082</v>
      </c>
      <c r="F5" s="17">
        <f>SUM(F6:F12)</f>
        <v>1014.5643247867313</v>
      </c>
      <c r="G5" s="18"/>
      <c r="H5" s="17"/>
      <c r="I5" s="17"/>
      <c r="J5" s="17">
        <f>SUM(J6:J12)</f>
        <v>0</v>
      </c>
      <c r="K5" s="17"/>
      <c r="L5" s="17"/>
      <c r="M5" s="17"/>
      <c r="N5" s="17">
        <f>SUM(N6:N12)</f>
        <v>326.23792326120326</v>
      </c>
      <c r="O5" s="17">
        <f>B38*B39*B40</f>
        <v>3.1266666666666669</v>
      </c>
      <c r="P5" s="17">
        <f>B46*B47*B48/1000-B46*B47*B48/1000/B49</f>
        <v>19.066666666666666</v>
      </c>
      <c r="R5" s="32"/>
    </row>
    <row r="6" spans="1:18">
      <c r="A6" s="32" t="s">
        <v>54</v>
      </c>
      <c r="B6" s="37">
        <f>B26</f>
        <v>700.83299999999997</v>
      </c>
      <c r="C6" s="33"/>
      <c r="D6" s="37">
        <f>IF(ISERROR(TER_kantoor_gas_kWh/1000),0,TER_kantoor_gas_kWh/1000)*0.902</f>
        <v>503.22670199999999</v>
      </c>
      <c r="E6" s="33">
        <f>$C$26*'E Balans VL '!I12/100/3.6*1000000</f>
        <v>9.1747672710738684</v>
      </c>
      <c r="F6" s="33">
        <f>$C$26*('E Balans VL '!L12+'E Balans VL '!N12)/100/3.6*1000000</f>
        <v>178.70517286230734</v>
      </c>
      <c r="G6" s="34"/>
      <c r="H6" s="33"/>
      <c r="I6" s="33"/>
      <c r="J6" s="33">
        <f>$C$26*('E Balans VL '!D12+'E Balans VL '!E12)/100/3.6*1000000</f>
        <v>0</v>
      </c>
      <c r="K6" s="33"/>
      <c r="L6" s="33"/>
      <c r="M6" s="33"/>
      <c r="N6" s="33">
        <f>$C$26*'E Balans VL '!Y12/100/3.6*1000000</f>
        <v>0.7031930175889155</v>
      </c>
      <c r="O6" s="33"/>
      <c r="P6" s="33"/>
      <c r="R6" s="32"/>
    </row>
    <row r="7" spans="1:18">
      <c r="A7" s="32" t="s">
        <v>53</v>
      </c>
      <c r="B7" s="37">
        <f t="shared" ref="B7:B12" si="0">B27</f>
        <v>602.37199999999996</v>
      </c>
      <c r="C7" s="33"/>
      <c r="D7" s="37">
        <f>IF(ISERROR(TER_horeca_gas_kWh/1000),0,TER_horeca_gas_kWh/1000)*0.902</f>
        <v>572.93957599999999</v>
      </c>
      <c r="E7" s="33">
        <f>$C$27*'E Balans VL '!I9/100/3.6*1000000</f>
        <v>19.93484909403988</v>
      </c>
      <c r="F7" s="33">
        <f>$C$27*('E Balans VL '!L9+'E Balans VL '!N9)/100/3.6*1000000</f>
        <v>259.01765143086311</v>
      </c>
      <c r="G7" s="34"/>
      <c r="H7" s="33"/>
      <c r="I7" s="33"/>
      <c r="J7" s="33">
        <f>$C$27*('E Balans VL '!D9+'E Balans VL '!E9)/100/3.6*1000000</f>
        <v>0</v>
      </c>
      <c r="K7" s="33"/>
      <c r="L7" s="33"/>
      <c r="M7" s="33"/>
      <c r="N7" s="33">
        <f>$C$27*'E Balans VL '!Y9/100/3.6*1000000</f>
        <v>0.14499968780138753</v>
      </c>
      <c r="O7" s="33"/>
      <c r="P7" s="33"/>
      <c r="R7" s="32"/>
    </row>
    <row r="8" spans="1:18">
      <c r="A8" s="6" t="s">
        <v>52</v>
      </c>
      <c r="B8" s="37">
        <f t="shared" si="0"/>
        <v>1944.521</v>
      </c>
      <c r="C8" s="33"/>
      <c r="D8" s="37">
        <f>IF(ISERROR(TER_handel_gas_kWh/1000),0,TER_handel_gas_kWh/1000)*0.902</f>
        <v>146.61017799999999</v>
      </c>
      <c r="E8" s="33">
        <f>$C$28*'E Balans VL '!I13/100/3.6*1000000</f>
        <v>61.372053899647312</v>
      </c>
      <c r="F8" s="33">
        <f>$C$28*('E Balans VL '!L13+'E Balans VL '!N13)/100/3.6*1000000</f>
        <v>381.35480898894713</v>
      </c>
      <c r="G8" s="34"/>
      <c r="H8" s="33"/>
      <c r="I8" s="33"/>
      <c r="J8" s="33">
        <f>$C$28*('E Balans VL '!D13+'E Balans VL '!E13)/100/3.6*1000000</f>
        <v>0</v>
      </c>
      <c r="K8" s="33"/>
      <c r="L8" s="33"/>
      <c r="M8" s="33"/>
      <c r="N8" s="33">
        <f>$C$28*'E Balans VL '!Y13/100/3.6*1000000</f>
        <v>2.3077689028825121</v>
      </c>
      <c r="O8" s="33"/>
      <c r="P8" s="33"/>
      <c r="R8" s="32"/>
    </row>
    <row r="9" spans="1:18">
      <c r="A9" s="32" t="s">
        <v>51</v>
      </c>
      <c r="B9" s="37">
        <f t="shared" si="0"/>
        <v>365.577</v>
      </c>
      <c r="C9" s="33"/>
      <c r="D9" s="37">
        <f>IF(ISERROR(TER_gezond_gas_kWh/1000),0,TER_gezond_gas_kWh/1000)*0.902</f>
        <v>36.289264000000003</v>
      </c>
      <c r="E9" s="33">
        <f>$C$29*'E Balans VL '!I10/100/3.6*1000000</f>
        <v>4.6804550717839261E-2</v>
      </c>
      <c r="F9" s="33">
        <f>$C$29*('E Balans VL '!L10+'E Balans VL '!N10)/100/3.6*1000000</f>
        <v>76.165011836297367</v>
      </c>
      <c r="G9" s="34"/>
      <c r="H9" s="33"/>
      <c r="I9" s="33"/>
      <c r="J9" s="33">
        <f>$C$29*('E Balans VL '!D10+'E Balans VL '!E10)/100/3.6*1000000</f>
        <v>0</v>
      </c>
      <c r="K9" s="33"/>
      <c r="L9" s="33"/>
      <c r="M9" s="33"/>
      <c r="N9" s="33">
        <f>$C$29*'E Balans VL '!Y10/100/3.6*1000000</f>
        <v>4.2938746594067592</v>
      </c>
      <c r="O9" s="33"/>
      <c r="P9" s="33"/>
      <c r="R9" s="32"/>
    </row>
    <row r="10" spans="1:18">
      <c r="A10" s="32" t="s">
        <v>50</v>
      </c>
      <c r="B10" s="37">
        <f t="shared" si="0"/>
        <v>404.36500000000001</v>
      </c>
      <c r="C10" s="33"/>
      <c r="D10" s="37">
        <f>IF(ISERROR(TER_ander_gas_kWh/1000),0,TER_ander_gas_kWh/1000)*0.902</f>
        <v>192.67261199999999</v>
      </c>
      <c r="E10" s="33">
        <f>$C$30*'E Balans VL '!I14/100/3.6*1000000</f>
        <v>0.60806986726704049</v>
      </c>
      <c r="F10" s="33">
        <f>$C$30*('E Balans VL '!L14+'E Balans VL '!N14)/100/3.6*1000000</f>
        <v>89.270757457189148</v>
      </c>
      <c r="G10" s="34"/>
      <c r="H10" s="33"/>
      <c r="I10" s="33"/>
      <c r="J10" s="33">
        <f>$C$30*('E Balans VL '!D14+'E Balans VL '!E14)/100/3.6*1000000</f>
        <v>0</v>
      </c>
      <c r="K10" s="33"/>
      <c r="L10" s="33"/>
      <c r="M10" s="33"/>
      <c r="N10" s="33">
        <f>$C$30*'E Balans VL '!Y14/100/3.6*1000000</f>
        <v>318.66683273847764</v>
      </c>
      <c r="O10" s="33"/>
      <c r="P10" s="33"/>
      <c r="R10" s="32"/>
    </row>
    <row r="11" spans="1:18">
      <c r="A11" s="32" t="s">
        <v>55</v>
      </c>
      <c r="B11" s="37">
        <f t="shared" si="0"/>
        <v>65.084999999999994</v>
      </c>
      <c r="C11" s="33"/>
      <c r="D11" s="37">
        <f>IF(ISERROR(TER_onderwijs_gas_kWh/1000),0,TER_onderwijs_gas_kWh/1000)*0.902</f>
        <v>0</v>
      </c>
      <c r="E11" s="33">
        <f>$C$31*'E Balans VL '!I11/100/3.6*1000000</f>
        <v>0.11462013910414712</v>
      </c>
      <c r="F11" s="33">
        <f>$C$31*('E Balans VL '!L11+'E Balans VL '!N11)/100/3.6*1000000</f>
        <v>30.050922211127151</v>
      </c>
      <c r="G11" s="34"/>
      <c r="H11" s="33"/>
      <c r="I11" s="33"/>
      <c r="J11" s="33">
        <f>$C$31*('E Balans VL '!D11+'E Balans VL '!E11)/100/3.6*1000000</f>
        <v>0</v>
      </c>
      <c r="K11" s="33"/>
      <c r="L11" s="33"/>
      <c r="M11" s="33"/>
      <c r="N11" s="33">
        <f>$C$31*'E Balans VL '!Y11/100/3.6*1000000</f>
        <v>0.12125425504606237</v>
      </c>
      <c r="O11" s="33"/>
      <c r="P11" s="33"/>
      <c r="R11" s="32"/>
    </row>
    <row r="12" spans="1:18">
      <c r="A12" s="32" t="s">
        <v>260</v>
      </c>
      <c r="B12" s="37">
        <f t="shared" si="0"/>
        <v>0</v>
      </c>
      <c r="C12" s="33"/>
      <c r="D12" s="37">
        <f>IF(ISERROR(TER_rest_gas_kWh/1000),0,TER_rest_gas_kWh/1000)*0.902</f>
        <v>107.457966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4082.7529999999997</v>
      </c>
      <c r="C16" s="21">
        <f t="shared" ca="1" si="1"/>
        <v>0</v>
      </c>
      <c r="D16" s="21">
        <f t="shared" ca="1" si="1"/>
        <v>1559.1962979999998</v>
      </c>
      <c r="E16" s="21">
        <f t="shared" si="1"/>
        <v>91.251164821850082</v>
      </c>
      <c r="F16" s="21">
        <f t="shared" ca="1" si="1"/>
        <v>1014.5643247867313</v>
      </c>
      <c r="G16" s="21">
        <f t="shared" si="1"/>
        <v>0</v>
      </c>
      <c r="H16" s="21">
        <f t="shared" si="1"/>
        <v>0</v>
      </c>
      <c r="I16" s="21">
        <f t="shared" si="1"/>
        <v>0</v>
      </c>
      <c r="J16" s="21">
        <f t="shared" si="1"/>
        <v>0</v>
      </c>
      <c r="K16" s="21">
        <f t="shared" si="1"/>
        <v>0</v>
      </c>
      <c r="L16" s="21">
        <f t="shared" ca="1" si="1"/>
        <v>0</v>
      </c>
      <c r="M16" s="21">
        <f t="shared" si="1"/>
        <v>0</v>
      </c>
      <c r="N16" s="21">
        <f t="shared" ca="1" si="1"/>
        <v>326.23792326120326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0.18243341063019852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744.83055455067483</v>
      </c>
      <c r="C20" s="23">
        <f t="shared" ref="C20:P20" ca="1" si="2">C16*C18</f>
        <v>0</v>
      </c>
      <c r="D20" s="23">
        <f t="shared" ca="1" si="2"/>
        <v>314.95765219599997</v>
      </c>
      <c r="E20" s="23">
        <f t="shared" si="2"/>
        <v>20.714014414559969</v>
      </c>
      <c r="F20" s="23">
        <f t="shared" ca="1" si="2"/>
        <v>270.88867471805725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700.83299999999997</v>
      </c>
      <c r="C26" s="39">
        <f>IF(ISERROR(B26*3.6/1000000/'E Balans VL '!Z12*100),0,B26*3.6/1000000/'E Balans VL '!Z12*100)</f>
        <v>1.5012387315956839E-2</v>
      </c>
      <c r="D26" s="237" t="s">
        <v>660</v>
      </c>
      <c r="F26" s="6"/>
    </row>
    <row r="27" spans="1:18">
      <c r="A27" s="231" t="s">
        <v>53</v>
      </c>
      <c r="B27" s="33">
        <f>IF(ISERROR(TER_horeca_ele_kWh/1000),0,TER_horeca_ele_kWh/1000)</f>
        <v>602.37199999999996</v>
      </c>
      <c r="C27" s="39">
        <f>IF(ISERROR(B27*3.6/1000000/'E Balans VL '!Z9*100),0,B27*3.6/1000000/'E Balans VL '!Z9*100)</f>
        <v>4.8338259176300004E-2</v>
      </c>
      <c r="D27" s="237" t="s">
        <v>660</v>
      </c>
      <c r="F27" s="6"/>
    </row>
    <row r="28" spans="1:18">
      <c r="A28" s="171" t="s">
        <v>52</v>
      </c>
      <c r="B28" s="33">
        <f>IF(ISERROR(TER_handel_ele_kWh/1000),0,TER_handel_ele_kWh/1000)</f>
        <v>1944.521</v>
      </c>
      <c r="C28" s="39">
        <f>IF(ISERROR(B28*3.6/1000000/'E Balans VL '!Z13*100),0,B28*3.6/1000000/'E Balans VL '!Z13*100)</f>
        <v>5.7352216172414094E-2</v>
      </c>
      <c r="D28" s="237" t="s">
        <v>660</v>
      </c>
      <c r="F28" s="6"/>
    </row>
    <row r="29" spans="1:18">
      <c r="A29" s="231" t="s">
        <v>51</v>
      </c>
      <c r="B29" s="33">
        <f>IF(ISERROR(TER_gezond_ele_kWh/1000),0,TER_gezond_ele_kWh/1000)</f>
        <v>365.577</v>
      </c>
      <c r="C29" s="39">
        <f>IF(ISERROR(B29*3.6/1000000/'E Balans VL '!Z10*100),0,B29*3.6/1000000/'E Balans VL '!Z10*100)</f>
        <v>3.9033822113077266E-2</v>
      </c>
      <c r="D29" s="237" t="s">
        <v>660</v>
      </c>
      <c r="F29" s="6"/>
    </row>
    <row r="30" spans="1:18">
      <c r="A30" s="231" t="s">
        <v>50</v>
      </c>
      <c r="B30" s="33">
        <f>IF(ISERROR(TER_ander_ele_kWh/1000),0,TER_ander_ele_kWh/1000)</f>
        <v>404.36500000000001</v>
      </c>
      <c r="C30" s="39">
        <f>IF(ISERROR(B30*3.6/1000000/'E Balans VL '!Z14*100),0,B30*3.6/1000000/'E Balans VL '!Z14*100)</f>
        <v>3.0543276327305312E-2</v>
      </c>
      <c r="D30" s="237" t="s">
        <v>660</v>
      </c>
      <c r="F30" s="6"/>
    </row>
    <row r="31" spans="1:18">
      <c r="A31" s="231" t="s">
        <v>55</v>
      </c>
      <c r="B31" s="33">
        <f>IF(ISERROR(TER_onderwijs_ele_kWh/1000),0,TER_onderwijs_ele_kWh/1000)</f>
        <v>65.084999999999994</v>
      </c>
      <c r="C31" s="39">
        <f>IF(ISERROR(B31*3.6/1000000/'E Balans VL '!Z11*100),0,B31*3.6/1000000/'E Balans VL '!Z11*100)</f>
        <v>1.3142834205150623E-2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1534.162</v>
      </c>
      <c r="C5" s="17">
        <f>IF(ISERROR('Eigen informatie GS &amp; warmtenet'!B59),0,'Eigen informatie GS &amp; warmtenet'!B59)</f>
        <v>0</v>
      </c>
      <c r="D5" s="30">
        <f>SUM(D6:D15)</f>
        <v>146.07439000000002</v>
      </c>
      <c r="E5" s="17">
        <f>SUM(E6:E15)</f>
        <v>111.23951893264893</v>
      </c>
      <c r="F5" s="17">
        <f>SUM(F6:F15)</f>
        <v>429.50025039123523</v>
      </c>
      <c r="G5" s="18"/>
      <c r="H5" s="17"/>
      <c r="I5" s="17"/>
      <c r="J5" s="17">
        <f>SUM(J6:J15)</f>
        <v>1.2063955438057095</v>
      </c>
      <c r="K5" s="17"/>
      <c r="L5" s="17"/>
      <c r="M5" s="17"/>
      <c r="N5" s="17">
        <f>SUM(N6:N15)</f>
        <v>155.19977712946675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20.265999999999998</v>
      </c>
      <c r="C8" s="33"/>
      <c r="D8" s="37">
        <f>IF( ISERROR(IND_metaal_Gas_kWH/1000),0,IND_metaal_Gas_kWH/1000)*0.902</f>
        <v>0</v>
      </c>
      <c r="E8" s="33">
        <f>C30*'E Balans VL '!I18/100/3.6*1000000</f>
        <v>0.7292319888060016</v>
      </c>
      <c r="F8" s="33">
        <f>C30*'E Balans VL '!L18/100/3.6*1000000+C30*'E Balans VL '!N18/100/3.6*1000000</f>
        <v>8.8495052469614937</v>
      </c>
      <c r="G8" s="34"/>
      <c r="H8" s="33"/>
      <c r="I8" s="33"/>
      <c r="J8" s="40">
        <f>C30*'E Balans VL '!D18/100/3.6*1000000+C30*'E Balans VL '!E18/100/3.6*1000000</f>
        <v>0</v>
      </c>
      <c r="K8" s="33"/>
      <c r="L8" s="33"/>
      <c r="M8" s="33"/>
      <c r="N8" s="33">
        <f>C30*'E Balans VL '!Y18/100/3.6*1000000</f>
        <v>1.0157181477937027</v>
      </c>
      <c r="O8" s="33"/>
      <c r="P8" s="33"/>
      <c r="R8" s="32"/>
    </row>
    <row r="9" spans="1:18">
      <c r="A9" s="6" t="s">
        <v>33</v>
      </c>
      <c r="B9" s="37">
        <f t="shared" si="0"/>
        <v>390.94299999999998</v>
      </c>
      <c r="C9" s="33"/>
      <c r="D9" s="37">
        <f>IF( ISERROR(IND_andere_gas_kWh/1000),0,IND_andere_gas_kWh/1000)*0.902</f>
        <v>127.73131800000002</v>
      </c>
      <c r="E9" s="33">
        <f>C31*'E Balans VL '!I19/100/3.6*1000000</f>
        <v>99.759808266876433</v>
      </c>
      <c r="F9" s="33">
        <f>C31*'E Balans VL '!L19/100/3.6*1000000+C31*'E Balans VL '!N19/100/3.6*1000000</f>
        <v>336.57253858175199</v>
      </c>
      <c r="G9" s="34"/>
      <c r="H9" s="33"/>
      <c r="I9" s="33"/>
      <c r="J9" s="40">
        <f>C31*'E Balans VL '!D19/100/3.6*1000000+C31*'E Balans VL '!E19/100/3.6*1000000</f>
        <v>0</v>
      </c>
      <c r="K9" s="33"/>
      <c r="L9" s="33"/>
      <c r="M9" s="33"/>
      <c r="N9" s="33">
        <f>C31*'E Balans VL '!Y19/100/3.6*1000000</f>
        <v>122.26126449948191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974.14599999999996</v>
      </c>
      <c r="C11" s="33"/>
      <c r="D11" s="37">
        <f>IF( ISERROR(IND_textiel_gas_kWh/1000),0,IND_textiel_gas_kWh/1000)*0.902</f>
        <v>0</v>
      </c>
      <c r="E11" s="33">
        <f>C33*'E Balans VL '!I21/100/3.6*1000000</f>
        <v>2.6742927401188168</v>
      </c>
      <c r="F11" s="33">
        <f>C33*'E Balans VL '!L21/100/3.6*1000000+C33*'E Balans VL '!N21/100/3.6*1000000</f>
        <v>51.645161130498096</v>
      </c>
      <c r="G11" s="34"/>
      <c r="H11" s="33"/>
      <c r="I11" s="33"/>
      <c r="J11" s="40">
        <f>C33*'E Balans VL '!D21/100/3.6*1000000+C33*'E Balans VL '!E21/100/3.6*1000000</f>
        <v>0</v>
      </c>
      <c r="K11" s="33"/>
      <c r="L11" s="33"/>
      <c r="M11" s="33"/>
      <c r="N11" s="33">
        <f>C33*'E Balans VL '!Y21/100/3.6*1000000</f>
        <v>1.9578722557810455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148.80699999999999</v>
      </c>
      <c r="C15" s="33"/>
      <c r="D15" s="37">
        <f>IF( ISERROR(IND_rest_gas_kWh/1000),0,IND_rest_gas_kWh/1000)*0.902</f>
        <v>18.343071999999999</v>
      </c>
      <c r="E15" s="33">
        <f>C37*'E Balans VL '!I15/100/3.6*1000000</f>
        <v>8.0761859368476827</v>
      </c>
      <c r="F15" s="33">
        <f>C37*'E Balans VL '!L15/100/3.6*1000000+C37*'E Balans VL '!N15/100/3.6*1000000</f>
        <v>32.433045432023675</v>
      </c>
      <c r="G15" s="34"/>
      <c r="H15" s="33"/>
      <c r="I15" s="33"/>
      <c r="J15" s="40">
        <f>C37*'E Balans VL '!D15/100/3.6*1000000+C37*'E Balans VL '!E15/100/3.6*1000000</f>
        <v>1.2063955438057095</v>
      </c>
      <c r="K15" s="33"/>
      <c r="L15" s="33"/>
      <c r="M15" s="33"/>
      <c r="N15" s="33">
        <f>C37*'E Balans VL '!Y15/100/3.6*1000000</f>
        <v>29.964922226410092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1534.162</v>
      </c>
      <c r="C18" s="21">
        <f>C5+C16</f>
        <v>0</v>
      </c>
      <c r="D18" s="21">
        <f>MAX((D5+D16),0)</f>
        <v>146.07439000000002</v>
      </c>
      <c r="E18" s="21">
        <f>MAX((E5+E16),0)</f>
        <v>111.23951893264893</v>
      </c>
      <c r="F18" s="21">
        <f>MAX((F5+F16),0)</f>
        <v>429.50025039123523</v>
      </c>
      <c r="G18" s="21"/>
      <c r="H18" s="21"/>
      <c r="I18" s="21"/>
      <c r="J18" s="21">
        <f>MAX((J5+J16),0)</f>
        <v>1.2063955438057095</v>
      </c>
      <c r="K18" s="21"/>
      <c r="L18" s="21">
        <f>MAX((L5+L16),0)</f>
        <v>0</v>
      </c>
      <c r="M18" s="21"/>
      <c r="N18" s="21">
        <f>MAX((N5+N16),0)</f>
        <v>155.19977712946675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0.18243341063019852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279.88240611924664</v>
      </c>
      <c r="C22" s="23">
        <f ca="1">C18*C20</f>
        <v>0</v>
      </c>
      <c r="D22" s="23">
        <f>D18*D20</f>
        <v>29.507026780000007</v>
      </c>
      <c r="E22" s="23">
        <f>E18*E20</f>
        <v>25.25137079771131</v>
      </c>
      <c r="F22" s="23">
        <f>F18*F20</f>
        <v>114.67656685445981</v>
      </c>
      <c r="G22" s="23"/>
      <c r="H22" s="23"/>
      <c r="I22" s="23"/>
      <c r="J22" s="23">
        <f>J18*J20</f>
        <v>0.42706402250722114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20.265999999999998</v>
      </c>
      <c r="C30" s="39">
        <f>IF(ISERROR(B30*3.6/1000000/'E Balans VL '!Z18*100),0,B30*3.6/1000000/'E Balans VL '!Z18*100)</f>
        <v>4.2939309084112616E-3</v>
      </c>
      <c r="D30" s="237" t="s">
        <v>660</v>
      </c>
    </row>
    <row r="31" spans="1:18">
      <c r="A31" s="6" t="s">
        <v>33</v>
      </c>
      <c r="B31" s="37">
        <f>IF( ISERROR(IND_ander_ele_kWh/1000),0,IND_ander_ele_kWh/1000)</f>
        <v>390.94299999999998</v>
      </c>
      <c r="C31" s="39">
        <f>IF(ISERROR(B31*3.6/1000000/'E Balans VL '!Z19*100),0,B31*3.6/1000000/'E Balans VL '!Z19*100)</f>
        <v>1.6455678570640342E-2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974.14599999999996</v>
      </c>
      <c r="C33" s="39">
        <f>IF(ISERROR(B33*3.6/1000000/'E Balans VL '!Z21*100),0,B33*3.6/1000000/'E Balans VL '!Z21*100)</f>
        <v>5.6873558628352805E-2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148.80699999999999</v>
      </c>
      <c r="C37" s="39">
        <f>IF(ISERROR(B37*3.6/1000000/'E Balans VL '!Z15*100),0,B37*3.6/1000000/'E Balans VL '!Z15*100)</f>
        <v>1.2013765317113729E-3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2440.6509999999998</v>
      </c>
      <c r="C5" s="17">
        <f>'Eigen informatie GS &amp; warmtenet'!B60</f>
        <v>0</v>
      </c>
      <c r="D5" s="30">
        <f>IF(ISERROR(SUM(LB_lb_gas_kWh,LB_rest_gas_kWh,onbekend_gas_kWh)/1000),0,SUM(LB_lb_gas_kWh,LB_rest_gas_kWh,onbekend_gas_kWh)/1000)*0.902</f>
        <v>14.987632</v>
      </c>
      <c r="E5" s="17">
        <f>B17*'E Balans VL '!I25/3.6*1000000/100</f>
        <v>62.935018273587772</v>
      </c>
      <c r="F5" s="17">
        <f>B17*('E Balans VL '!L25/3.6*1000000+'E Balans VL '!N25/3.6*1000000)/100</f>
        <v>8921.044204404323</v>
      </c>
      <c r="G5" s="18"/>
      <c r="H5" s="17"/>
      <c r="I5" s="17"/>
      <c r="J5" s="17">
        <f>('E Balans VL '!D25+'E Balans VL '!E25)/3.6*1000000*landbouw!B17/100</f>
        <v>351.3639606086254</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2440.6509999999998</v>
      </c>
      <c r="C8" s="21">
        <f>C5+C6</f>
        <v>0</v>
      </c>
      <c r="D8" s="21">
        <f>MAX((D5+D6),0)</f>
        <v>14.987632</v>
      </c>
      <c r="E8" s="21">
        <f>MAX((E5+E6),0)</f>
        <v>62.935018273587772</v>
      </c>
      <c r="F8" s="21">
        <f>MAX((F5+F6),0)</f>
        <v>8921.044204404323</v>
      </c>
      <c r="G8" s="21"/>
      <c r="H8" s="21"/>
      <c r="I8" s="21"/>
      <c r="J8" s="21">
        <f>MAX((J5+J6),0)</f>
        <v>351.3639606086254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0.18243341063019852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445.25628608800463</v>
      </c>
      <c r="C12" s="23">
        <f ca="1">C8*C10</f>
        <v>0</v>
      </c>
      <c r="D12" s="23">
        <f>D8*D10</f>
        <v>3.0275016640000003</v>
      </c>
      <c r="E12" s="23">
        <f>E8*E10</f>
        <v>14.286249148104424</v>
      </c>
      <c r="F12" s="23">
        <f>F8*F10</f>
        <v>2381.9188025759545</v>
      </c>
      <c r="G12" s="23"/>
      <c r="H12" s="23"/>
      <c r="I12" s="23"/>
      <c r="J12" s="23">
        <f>J8*J10</f>
        <v>124.38284205545338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0.34414795750972438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184.63833753433047</v>
      </c>
      <c r="C26" s="247">
        <f>B26*'GWP N2O_CH4'!B5</f>
        <v>3877.4050882209399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34.125337965967425</v>
      </c>
      <c r="C27" s="247">
        <f>B27*'GWP N2O_CH4'!B5</f>
        <v>716.63209728531592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4.5637119253248928</v>
      </c>
      <c r="C28" s="247">
        <f>B28*'GWP N2O_CH4'!B4</f>
        <v>1414.7506968507168</v>
      </c>
      <c r="D28" s="50"/>
    </row>
    <row r="29" spans="1:4">
      <c r="A29" s="41" t="s">
        <v>277</v>
      </c>
      <c r="B29" s="247">
        <f>B34*'ha_N2O bodem landbouw'!B4</f>
        <v>14.946609726536858</v>
      </c>
      <c r="C29" s="247">
        <f>B29*'GWP N2O_CH4'!B4</f>
        <v>4633.4490152264261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3.3637994108703913E-3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2.5488369427152054E-5</v>
      </c>
      <c r="C5" s="463" t="s">
        <v>211</v>
      </c>
      <c r="D5" s="448">
        <f>SUM(D6:D11)</f>
        <v>7.9775706583333226E-5</v>
      </c>
      <c r="E5" s="448">
        <f>SUM(E6:E11)</f>
        <v>2.941450473138282E-4</v>
      </c>
      <c r="F5" s="461" t="s">
        <v>211</v>
      </c>
      <c r="G5" s="448">
        <f>SUM(G6:G11)</f>
        <v>7.983048947078783E-2</v>
      </c>
      <c r="H5" s="448">
        <f>SUM(H6:H11)</f>
        <v>2.1052091722839606E-2</v>
      </c>
      <c r="I5" s="463" t="s">
        <v>211</v>
      </c>
      <c r="J5" s="463" t="s">
        <v>211</v>
      </c>
      <c r="K5" s="463" t="s">
        <v>211</v>
      </c>
      <c r="L5" s="463" t="s">
        <v>211</v>
      </c>
      <c r="M5" s="448">
        <f>SUM(M6:M11)</f>
        <v>3.145983230539131E-3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6.464975371702893E-6</v>
      </c>
      <c r="C6" s="449"/>
      <c r="D6" s="962">
        <f>vkm_2011_GW_PW*SUMIFS(TableVerdeelsleutelVkm[CNG],TableVerdeelsleutelVkm[Voertuigtype],"Lichte voertuigen")*SUMIFS(TableECFTransport[EnergieConsumptieFactor (PJ per km)],TableECFTransport[Index],CONCATENATE($A6,"_CNG_CNG"))</f>
        <v>1.284601930753754E-5</v>
      </c>
      <c r="E6" s="962">
        <f>vkm_2011_GW_PW*SUMIFS(TableVerdeelsleutelVkm[LPG],TableVerdeelsleutelVkm[Voertuigtype],"Lichte voertuigen")*SUMIFS(TableECFTransport[EnergieConsumptieFactor (PJ per km)],TableECFTransport[Index],CONCATENATE($A6,"_LPG_LPG"))</f>
        <v>5.0553690927874147E-5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1.2019933104365369E-2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3.4778038904973753E-3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4.8292379557950431E-4</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4.0668351992177287E-3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1.3137614781442582E-6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1.2813975456014854E-4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1.902339405544916E-5</v>
      </c>
      <c r="C8" s="449"/>
      <c r="D8" s="451">
        <f>vkm_2011_NGW_PW*SUMIFS(TableVerdeelsleutelVkm[CNG],TableVerdeelsleutelVkm[Voertuigtype],"Lichte voertuigen")*SUMIFS(TableECFTransport[EnergieConsumptieFactor (PJ per km)],TableECFTransport[Index],CONCATENATE($A8,"_CNG_CNG"))</f>
        <v>6.6929687275795691E-5</v>
      </c>
      <c r="E8" s="451">
        <f>vkm_2011_NGW_PW*SUMIFS(TableVerdeelsleutelVkm[LPG],TableVerdeelsleutelVkm[Voertuigtype],"Lichte voertuigen")*SUMIFS(TableECFTransport[EnergieConsumptieFactor (PJ per km)],TableECFTransport[Index],CONCATENATE($A8,"_LPG_LPG"))</f>
        <v>2.4359135638595404E-4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5.4084128720015577E-2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1.7570022983466767E-2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2.230565782359121E-3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9.6595924471891501E-3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2.951087397318303E-6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3.043538980403574E-4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7.0801026186533482</v>
      </c>
      <c r="C14" s="21"/>
      <c r="D14" s="21">
        <f t="shared" ref="D14:M14" si="0">((D5)*10^9/3600)+D12</f>
        <v>22.159918495370341</v>
      </c>
      <c r="E14" s="21">
        <f t="shared" si="0"/>
        <v>81.7069575871745</v>
      </c>
      <c r="F14" s="21"/>
      <c r="G14" s="21">
        <f t="shared" si="0"/>
        <v>22175.135964107729</v>
      </c>
      <c r="H14" s="21">
        <f t="shared" si="0"/>
        <v>5847.8032563443348</v>
      </c>
      <c r="I14" s="21"/>
      <c r="J14" s="21"/>
      <c r="K14" s="21"/>
      <c r="L14" s="21"/>
      <c r="M14" s="21">
        <f t="shared" si="0"/>
        <v>873.88423070531417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0.18243341063019852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1.29164726833273</v>
      </c>
      <c r="C18" s="23"/>
      <c r="D18" s="23">
        <f t="shared" ref="D18:M18" si="1">D14*D16</f>
        <v>4.4763035360648091</v>
      </c>
      <c r="E18" s="23">
        <f t="shared" si="1"/>
        <v>18.547479372288613</v>
      </c>
      <c r="F18" s="23"/>
      <c r="G18" s="23">
        <f t="shared" si="1"/>
        <v>5920.761302416764</v>
      </c>
      <c r="H18" s="23">
        <f t="shared" si="1"/>
        <v>1456.1030108297393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1.910553385330324E-3</v>
      </c>
      <c r="H50" s="321">
        <f t="shared" si="2"/>
        <v>0</v>
      </c>
      <c r="I50" s="321">
        <f t="shared" si="2"/>
        <v>0</v>
      </c>
      <c r="J50" s="321">
        <f t="shared" si="2"/>
        <v>0</v>
      </c>
      <c r="K50" s="321">
        <f t="shared" si="2"/>
        <v>0</v>
      </c>
      <c r="L50" s="321">
        <f t="shared" si="2"/>
        <v>0</v>
      </c>
      <c r="M50" s="321">
        <f t="shared" si="2"/>
        <v>5.9261091757134565E-5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1.910553385330324E-3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5.9261091757134565E-5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530.70927370286779</v>
      </c>
      <c r="H54" s="21">
        <f t="shared" si="3"/>
        <v>0</v>
      </c>
      <c r="I54" s="21">
        <f t="shared" si="3"/>
        <v>0</v>
      </c>
      <c r="J54" s="21">
        <f t="shared" si="3"/>
        <v>0</v>
      </c>
      <c r="K54" s="21">
        <f t="shared" si="3"/>
        <v>0</v>
      </c>
      <c r="L54" s="21">
        <f t="shared" si="3"/>
        <v>0</v>
      </c>
      <c r="M54" s="21">
        <f t="shared" si="3"/>
        <v>16.461414376981825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0.18243341063019852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141.69937607866572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3445.0590030379576</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3445.0590030379576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2018-06-27T09:42:00Z</dcterms:modified>
</cp:coreProperties>
</file>