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F8" i="48"/>
  <c r="Q4"/>
  <c r="N22"/>
  <c r="R11" i="14"/>
  <c r="J21" i="48"/>
  <c r="R10" i="14"/>
  <c r="Q5" i="48" l="1"/>
  <c r="O13" i="14"/>
  <c r="O15" s="1"/>
  <c r="F13"/>
  <c r="F15" s="1"/>
  <c r="F23" s="1"/>
  <c r="F22" i="16"/>
  <c r="G39" i="14" s="1"/>
  <c r="G41" s="1"/>
  <c r="N22" i="16"/>
  <c r="O39" i="14" s="1"/>
  <c r="O41" s="1"/>
  <c r="E22" i="16"/>
  <c r="F39" i="14" s="1"/>
  <c r="F41" s="1"/>
  <c r="F53" s="1"/>
  <c r="F55" s="1"/>
  <c r="K41"/>
  <c r="K53" s="1"/>
  <c r="K55" s="1"/>
  <c r="N25" i="48"/>
  <c r="N31" s="1"/>
  <c r="N14"/>
  <c r="E25"/>
  <c r="E31" s="1"/>
  <c r="E14"/>
  <c r="K13" i="14"/>
  <c r="K15" s="1"/>
  <c r="K23" s="1"/>
  <c r="H55"/>
  <c r="E55"/>
  <c r="C78"/>
  <c r="C81" s="1"/>
  <c r="J14" i="48"/>
  <c r="J31"/>
  <c r="Q8"/>
  <c r="R19" i="14"/>
  <c r="R20" s="1"/>
  <c r="H14" i="48"/>
  <c r="G31"/>
  <c r="H26"/>
  <c r="H31" s="1"/>
  <c r="O53" i="14"/>
  <c r="G53"/>
  <c r="G55" s="1"/>
  <c r="O69" s="1"/>
  <c r="B9" i="6" s="1"/>
  <c r="B12" s="1"/>
  <c r="M53" i="14"/>
  <c r="M55" s="1"/>
  <c r="C12" i="13"/>
  <c r="D37" i="14" s="1"/>
  <c r="D41" s="1"/>
  <c r="C23" i="48"/>
  <c r="C24"/>
  <c r="C27"/>
  <c r="C28"/>
  <c r="C22"/>
  <c r="C25"/>
  <c r="C29"/>
  <c r="C21"/>
  <c r="C26"/>
  <c r="R13" i="14"/>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<sst xmlns="http://schemas.openxmlformats.org/spreadsheetml/2006/main" count="1924" uniqueCount="818">
  <si>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</si>
  <si>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</si>
  <si>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</si>
  <si>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</si>
  <si>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</si>
  <si>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</si>
  <si>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</si>
  <si>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</si>
  <si>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</si>
  <si>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</si>
  <si>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</si>
  <si>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</si>
  <si>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</si>
  <si>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</si>
  <si>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</si>
  <si>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</si>
  <si>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</si>
  <si>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</si>
  <si>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</si>
  <si>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</si>
  <si>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</si>
  <si>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</si>
  <si>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</si>
  <si>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</si>
  <si>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</si>
  <si>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</si>
  <si>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</si>
  <si>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</si>
  <si>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</si>
  <si>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</si>
  <si>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</si>
  <si>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</si>
  <si>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</si>
  <si>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</si>
  <si>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</si>
  <si>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</si>
  <si>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</si>
  <si>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</si>
  <si>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</si>
  <si>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</si>
  <si>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</si>
  <si>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</si>
  <si>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</si>
  <si>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</si>
  <si>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</si>
  <si>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</si>
  <si>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</si>
  <si>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</si>
  <si>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</si>
  <si>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</si>
  <si>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</si>
  <si>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</si>
  <si>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</si>
  <si>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</si>
  <si>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</si>
  <si>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</si>
  <si>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</si>
  <si>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</si>
  <si>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</si>
  <si>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</si>
  <si>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</si>
  <si>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</si>
  <si>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</si>
  <si>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</si>
  <si>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</si>
  <si>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</si>
  <si>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</si>
  <si>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</si>
  <si>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</si>
  <si>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</si>
  <si>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</si>
  <si>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</si>
  <si>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</si>
  <si>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</si>
  <si>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</si>
  <si>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</si>
  <si>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</si>
  <si>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</si>
  <si>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</si>
  <si>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</si>
  <si>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</si>
  <si>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</si>
  <si>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</si>
  <si>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</si>
  <si>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</si>
  <si>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</si>
  <si>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</si>
  <si>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</si>
  <si>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</si>
  <si>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</si>
  <si>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</si>
  <si>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</si>
  <si>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</si>
  <si>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</si>
  <si>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</si>
  <si>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</si>
  <si>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</si>
  <si>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</si>
  <si>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</si>
  <si>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</si>
  <si>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</si>
  <si>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</si>
  <si>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</si>
  <si>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</si>
  <si>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</si>
  <si>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</si>
  <si>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</si>
  <si>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</si>
  <si>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</si>
  <si>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</si>
  <si>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</si>
  <si>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</si>
  <si>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</si>
  <si>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</si>
  <si>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</si>
  <si>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</si>
  <si>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</si>
  <si>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</si>
  <si>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</si>
  <si>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</si>
  <si>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</si>
  <si>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</si>
  <si>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</si>
  <si>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</si>
  <si>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</si>
  <si>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</si>
  <si>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</si>
  <si>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</si>
  <si>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</si>
  <si>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</si>
  <si>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</si>
  <si>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</si>
  <si>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</si>
  <si>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</si>
  <si>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</si>
  <si>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</si>
  <si>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</si>
  <si>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</si>
  <si>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</si>
  <si>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</si>
  <si>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</si>
  <si>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</si>
  <si>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</si>
  <si>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</si>
  <si>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</si>
  <si>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</si>
  <si>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</si>
  <si>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</si>
  <si>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</si>
  <si>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</si>
  <si>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</si>
  <si>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</si>
  <si>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</si>
  <si>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</si>
  <si>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</si>
  <si>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</si>
  <si>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</si>
  <si>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</si>
  <si>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</si>
  <si>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</si>
  <si>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</si>
  <si>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</si>
  <si>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</si>
  <si>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</si>
  <si>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</si>
  <si>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</si>
  <si>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</si>
  <si>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</si>
  <si>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</si>
  <si>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</si>
  <si>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</si>
  <si>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</si>
  <si>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</si>
  <si>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</si>
  <si>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</si>
  <si>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</si>
  <si>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</si>
  <si>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</si>
  <si>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</si>
  <si>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</si>
  <si>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</si>
  <si>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</si>
  <si>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</si>
  <si>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</si>
  <si>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</si>
  <si>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</si>
  <si>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</si>
  <si>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</si>
  <si>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</si>
  <si>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</si>
  <si>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</si>
  <si>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</si>
  <si>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</si>
  <si>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</si>
  <si>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</si>
  <si>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</si>
  <si>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</si>
  <si>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</si>
  <si>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</si>
  <si>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</si>
  <si>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</si>
  <si>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</si>
  <si>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</si>
  <si>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</si>
  <si>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</si>
  <si>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</si>
  <si>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</si>
  <si>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</si>
  <si>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</si>
  <si>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</si>
  <si>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</si>
  <si>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</si>
  <si>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</si>
  <si>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</si>
  <si>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</si>
  <si>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</si>
  <si>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</si>
  <si>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</si>
  <si>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</si>
  <si>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</si>
  <si>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</si>
  <si>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</si>
  <si>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</si>
  <si>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</si>
  <si>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</si>
  <si>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</si>
  <si>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</si>
  <si>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</si>
  <si>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</si>
  <si>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</si>
  <si>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</si>
  <si>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</si>
  <si>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</si>
  <si>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</si>
  <si>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</si>
  <si>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</si>
  <si>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</si>
  <si>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</si>
  <si>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</si>
  <si>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</si>
  <si>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</si>
  <si>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</si>
  <si>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</si>
  <si>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</si>
  <si>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</si>
  <si>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</si>
  <si>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</si>
  <si>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</si>
  <si>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</si>
  <si>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</si>
  <si>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</si>
  <si>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</si>
  <si>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</si>
  <si>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</si>
  <si>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</si>
  <si>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</si>
  <si>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</si>
  <si>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</si>
  <si>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</si>
  <si>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</si>
  <si>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</si>
  <si>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</si>
  <si>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</si>
  <si>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</si>
  <si>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</si>
  <si>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</si>
  <si>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</si>
  <si>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</si>
  <si>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</si>
  <si>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</si>
  <si>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</si>
  <si>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</si>
  <si>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</si>
  <si>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</si>
  <si>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</si>
  <si>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</si>
  <si>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</si>
  <si>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</si>
  <si>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</si>
  <si>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</si>
  <si>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</si>
  <si>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</si>
  <si>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</si>
  <si>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</si>
  <si>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</si>
  <si>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</si>
  <si>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</si>
  <si>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</si>
  <si>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</si>
  <si>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</si>
  <si>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</si>
  <si>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</si>
  <si>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</si>
  <si>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</si>
  <si>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</si>
  <si>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</si>
  <si>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</si>
  <si>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</si>
  <si>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</si>
  <si>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</si>
  <si>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</si>
  <si>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</si>
  <si>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</si>
  <si>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</si>
  <si>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</si>
  <si>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</si>
  <si>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</si>
  <si>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</si>
  <si>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</si>
  <si>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</si>
  <si>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</si>
  <si>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</si>
  <si>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</si>
  <si>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</si>
  <si>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</si>
  <si>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</si>
  <si>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</si>
  <si>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</si>
  <si>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</si>
  <si>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</si>
  <si>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</si>
  <si>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</si>
  <si>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</si>
  <si>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</si>
  <si>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</si>
  <si>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</si>
  <si>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</si>
  <si>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</si>
  <si>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</si>
  <si>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</si>
  <si>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</si>
  <si>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</si>
  <si>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</si>
  <si>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</si>
  <si>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</si>
  <si>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</si>
  <si>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</si>
  <si>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</si>
  <si>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</si>
  <si>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</si>
  <si>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</si>
  <si>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</si>
  <si>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</si>
  <si>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</si>
  <si>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</si>
  <si>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</si>
  <si>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</si>
  <si>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</si>
  <si>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</si>
  <si>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</si>
  <si>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</si>
  <si>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</si>
  <si>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</si>
  <si>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</si>
  <si>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</si>
  <si>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</si>
  <si>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</si>
  <si>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</si>
  <si>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</si>
  <si>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</si>
  <si>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</si>
  <si>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</si>
  <si>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</si>
  <si>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</si>
  <si>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</si>
  <si>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</si>
  <si>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</si>
  <si>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</si>
  <si>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</si>
  <si>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</si>
  <si>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</si>
  <si>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</si>
  <si>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</si>
  <si>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</si>
  <si>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</si>
  <si>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</si>
  <si>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</si>
  <si>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</si>
  <si>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</si>
  <si>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</si>
  <si>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</si>
  <si>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</si>
  <si>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</si>
  <si>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</si>
  <si>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</si>
  <si>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</si>
  <si>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</si>
  <si>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</si>
  <si>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</si>
  <si>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</si>
  <si>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</si>
  <si>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</si>
  <si>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</si>
  <si>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</si>
  <si>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</si>
  <si>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</si>
  <si>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</si>
  <si>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</si>
  <si>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</si>
  <si>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</si>
  <si>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</si>
  <si>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</si>
  <si>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</si>
  <si>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</si>
  <si>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</si>
  <si>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</si>
  <si>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</si>
  <si>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</si>
  <si>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</si>
  <si>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</si>
  <si>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</si>
  <si>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</si>
  <si>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</si>
  <si>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</si>
  <si>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</si>
  <si>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</si>
  <si>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</si>
  <si>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</si>
  <si>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</si>
  <si>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</si>
  <si>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</si>
  <si>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</si>
  <si>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</si>
  <si>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</si>
  <si>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</si>
  <si>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</si>
  <si>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</si>
  <si>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</si>
  <si>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</si>
  <si>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</si>
  <si>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</si>
  <si>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</si>
  <si>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</si>
  <si>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</si>
  <si>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</si>
  <si>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</si>
  <si>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</si>
  <si>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</si>
  <si>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</si>
  <si>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</si>
  <si>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</si>
  <si>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</si>
  <si>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</si>
  <si>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</si>
  <si>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</si>
  <si>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</si>
  <si>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</si>
  <si>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</si>
  <si>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</si>
  <si>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</si>
  <si>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</si>
  <si>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</si>
  <si>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</si>
  <si>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</si>
  <si>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</si>
  <si>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</si>
  <si>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</si>
  <si>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</si>
  <si>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</si>
  <si>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</si>
  <si>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</si>
  <si>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</si>
  <si>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</si>
  <si>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</si>
  <si>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</si>
  <si>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</si>
  <si>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</si>
  <si>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</si>
  <si>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</si>
  <si>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</si>
  <si>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</si>
  <si>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</si>
  <si>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</si>
  <si>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</si>
  <si>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</si>
  <si>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</si>
  <si>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</si>
  <si>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</si>
  <si>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</si>
  <si>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</si>
  <si>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</si>
  <si>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</si>
  <si>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</si>
  <si>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</si>
  <si>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</si>
  <si>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</si>
  <si>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</si>
  <si>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</si>
  <si>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</si>
  <si>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</si>
  <si>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</si>
  <si>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</si>
  <si>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</si>
  <si>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</si>
  <si>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</si>
  <si>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</si>
  <si>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</si>
  <si>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</si>
  <si>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</si>
  <si>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</si>
  <si>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</si>
  <si>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</si>
  <si>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</si>
  <si>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</si>
  <si>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</si>
  <si>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</si>
  <si>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</si>
  <si>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</si>
  <si>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</si>
  <si>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</si>
  <si>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</si>
  <si>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</si>
  <si>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</si>
  <si>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</si>
  <si>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</si>
  <si>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</si>
  <si>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</si>
  <si>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</si>
  <si>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</si>
  <si>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</si>
  <si>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</si>
  <si>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</si>
  <si>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</si>
  <si>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</si>
  <si>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</si>
  <si>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</si>
  <si>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</si>
  <si>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</si>
  <si>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</si>
  <si>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</si>
  <si>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</si>
  <si>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</si>
  <si>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</si>
  <si>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</si>
  <si>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</si>
  <si>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</si>
  <si>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</si>
  <si>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</si>
  <si>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</si>
  <si>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</si>
  <si>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</si>
  <si>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</si>
  <si>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</si>
  <si>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</si>
  <si>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</si>
  <si>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</si>
  <si>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</si>
  <si>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</si>
  <si>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</si>
  <si>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</si>
  <si>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</si>
  <si>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</si>
  <si>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</si>
  <si>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</si>
  <si>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</si>
  <si>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</si>
  <si>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</si>
  <si>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</si>
  <si>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</si>
  <si>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</si>
  <si>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</si>
  <si>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</si>
  <si>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</si>
  <si>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</si>
  <si>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</si>
  <si>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</si>
  <si>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</si>
  <si>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</si>
  <si>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</si>
  <si>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</si>
  <si>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</si>
  <si>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</si>
  <si>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</si>
  <si>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</si>
  <si>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</si>
  <si>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</si>
  <si>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</si>
  <si>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</si>
  <si>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</si>
  <si>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</si>
  <si>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</si>
  <si>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</si>
  <si>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</si>
  <si>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</si>
  <si>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</si>
  <si>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</si>
  <si>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</si>
  <si>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</si>
  <si>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</si>
  <si>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</si>
  <si>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</si>
  <si>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</si>
  <si>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</si>
  <si>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</si>
  <si>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</si>
  <si>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</si>
  <si>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</si>
  <si>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</si>
  <si>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</si>
  <si>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</si>
  <si>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</si>
  <si>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</si>
  <si>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</si>
  <si>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</si>
  <si>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</si>
  <si>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</si>
  <si>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</si>
  <si>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</si>
  <si>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</si>
  <si>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</si>
  <si>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</si>
  <si>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</si>
  <si>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</si>
  <si>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</si>
  <si>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</si>
  <si>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</si>
  <si>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</si>
  <si>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</si>
  <si>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</si>
  <si>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</si>
  <si>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</si>
  <si>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</si>
  <si>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</si>
  <si>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</si>
  <si>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</si>
  <si>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</si>
  <si>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</si>
  <si>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</si>
  <si>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</si>
  <si>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</si>
  <si>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</si>
  <si>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</si>
  <si>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</si>
  <si>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</si>
  <si>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</si>
  <si>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</si>
  <si>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</si>
  <si>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</si>
  <si>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</si>
  <si>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</si>
  <si>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</si>
  <si>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</si>
  <si>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</si>
  <si>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</si>
  <si>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</si>
  <si>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</si>
  <si>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</si>
  <si>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</si>
  <si>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</si>
  <si>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</si>
  <si>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</si>
  <si>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</si>
  <si>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</si>
  <si>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</si>
  <si>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</si>
  <si>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</si>
  <si>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</si>
  <si>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</si>
  <si>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</si>
  <si>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</si>
  <si>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</si>
  <si>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</si>
  <si>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</si>
  <si>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</si>
  <si>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</si>
  <si>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</si>
  <si>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</si>
  <si>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</si>
  <si>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</si>
  <si>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</si>
  <si>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</si>
  <si>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</si>
  <si>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</si>
  <si>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</si>
  <si>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</si>
  <si>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</si>
  <si>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</si>
  <si>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</si>
  <si>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</si>
  <si>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</si>
  <si>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</si>
  <si>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</si>
  <si>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</si>
  <si>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</si>
  <si>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</si>
  <si>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</si>
  <si>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</si>
  <si>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</si>
  <si>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</si>
  <si>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</si>
  <si>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</si>
  <si>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</si>
  <si>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</si>
  <si>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</si>
  <si>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</si>
  <si>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</si>
  <si>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</si>
  <si>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</si>
  <si>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</si>
  <si>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</si>
  <si>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</si>
  <si>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</si>
  <si>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</si>
  <si>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</si>
  <si>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</si>
  <si>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</si>
  <si>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</si>
  <si>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</si>
  <si>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</si>
  <si>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</si>
  <si>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</si>
  <si>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</si>
  <si>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</si>
  <si>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</si>
  <si>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</si>
  <si>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</si>
  <si>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</si>
  <si>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</si>
  <si>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</si>
  <si>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</si>
  <si>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</si>
  <si>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</si>
  <si>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</si>
  <si>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</si>
  <si>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</si>
  <si>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</si>
  <si>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</si>
  <si>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</si>
  <si>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</si>
  <si>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</si>
  <si>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</si>
  <si>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</si>
  <si>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</si>
  <si>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</si>
  <si>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</si>
  <si>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</si>
  <si>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</si>
  <si>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</si>
  <si>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</si>
  <si>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</si>
  <si>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</si>
  <si>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</si>
  <si>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</si>
  <si>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</si>
  <si>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</si>
  <si>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</si>
  <si>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</si>
  <si>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</si>
  <si>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</si>
  <si>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</si>
  <si>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</si>
  <si>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</si>
  <si>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</si>
  <si>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</si>
  <si>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</si>
  <si>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</si>
  <si>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</si>
  <si>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</si>
  <si>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</si>
  <si>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</si>
  <si>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</si>
  <si>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</si>
  <si>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</si>
  <si>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</si>
  <si>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</si>
  <si>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</si>
  <si>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</si>
  <si>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</si>
  <si>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</si>
  <si>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</si>
  <si>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</si>
  <si>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</si>
  <si>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</si>
  <si>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</si>
  <si>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</si>
  <si>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</si>
  <si>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</si>
  <si>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</si>
  <si>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</si>
  <si>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</si>
  <si>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</si>
  <si>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</si>
  <si>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</si>
  <si>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</si>
  <si>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</si>
  <si>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</si>
  <si>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</si>
  <si>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</si>
  <si>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</si>
  <si>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</si>
  <si>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</si>
  <si>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</si>
  <si>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</si>
  <si>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</si>
  <si>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</si>
  <si>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</si>
  <si>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</si>
  <si>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</si>
  <si>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</si>
  <si>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</si>
  <si>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</si>
  <si>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</si>
  <si>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</si>
  <si>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</si>
  <si>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</si>
  <si>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</si>
  <si>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</si>
  <si>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</si>
  <si>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</si>
  <si>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</si>
  <si>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23102</t>
  </si>
  <si>
    <t>WEMMEL</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</si>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</sst>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113030.21227818432</c:v>
                </c:pt>
                <c:pt idx="1">
                  <c:v>52916.796241873599</c:v>
                </c:pt>
                <c:pt idx="2">
                  <c:v>1475.655</c:v>
                </c:pt>
                <c:pt idx="3">
                  <c:v>4754.2399915435772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113030.21227818432</c:v>
                </c:pt>
                <c:pt idx="1">
                  <c:v>52916.796241873599</c:v>
                </c:pt>
                <c:pt idx="2">
                  <c:v>1475.655</c:v>
                </c:pt>
                <c:pt idx="3">
                  <c:v>4754.2399915435772</c:v>
                </c:pt>
                <c:pt idx="4">
                  <c:v>4778.8015000318519</c:v>
                </c:pt>
                <c:pt idx="5">
                  <c:v>167941.15815931308</c:v>
                </c:pt>
                <c:pt idx="6">
                  <c:v>1726.700525880309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23449.163806397217</c:v>
                </c:pt>
                <c:pt idx="1">
                  <c:v>10833.696037475904</c:v>
                </c:pt>
                <c:pt idx="2">
                  <c:v>321.54427577903039</c:v>
                </c:pt>
                <c:pt idx="3">
                  <c:v>1008.2996004311664</c:v>
                </c:pt>
                <c:pt idx="4">
                  <c:v>930.9185695859718</c:v>
                </c:pt>
                <c:pt idx="5">
                  <c:v>42987.782697492054</c:v>
                </c:pt>
                <c:pt idx="6">
                  <c:v>447.1591635336984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23449.163806397217</c:v>
                </c:pt>
                <c:pt idx="1">
                  <c:v>10833.696037475904</c:v>
                </c:pt>
                <c:pt idx="2">
                  <c:v>321.54427577903039</c:v>
                </c:pt>
                <c:pt idx="3">
                  <c:v>1008.2996004311664</c:v>
                </c:pt>
                <c:pt idx="4">
                  <c:v>930.9185695859718</c:v>
                </c:pt>
                <c:pt idx="5">
                  <c:v>42987.782697492054</c:v>
                </c:pt>
                <c:pt idx="6">
                  <c:v>447.1591635336984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23102</v>
      </c>
      <c r="B6" s="415"/>
      <c r="C6" s="416"/>
    </row>
    <row r="7" spans="1:7" s="413" customFormat="1" ht="15.75" customHeight="1">
      <c r="A7" s="417" t="str">
        <f>txtMunicipality</f>
        <v>WEMMEL</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23102</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6391</v>
      </c>
      <c r="C9" s="342">
        <v>6748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223.71</v>
      </c>
    </row>
    <row r="15" spans="1:6">
      <c r="A15" s="348" t="s">
        <v>184</v>
      </c>
      <c r="B15" s="334">
        <v>0</v>
      </c>
    </row>
    <row r="16" spans="1:6">
      <c r="A16" s="348" t="s">
        <v>6</v>
      </c>
      <c r="B16" s="334">
        <v>19</v>
      </c>
    </row>
    <row r="17" spans="1:6">
      <c r="A17" s="348" t="s">
        <v>7</v>
      </c>
      <c r="B17" s="334">
        <v>15</v>
      </c>
    </row>
    <row r="18" spans="1:6">
      <c r="A18" s="348" t="s">
        <v>8</v>
      </c>
      <c r="B18" s="334">
        <v>23</v>
      </c>
    </row>
    <row r="19" spans="1:6">
      <c r="A19" s="348" t="s">
        <v>9</v>
      </c>
      <c r="B19" s="334">
        <v>14</v>
      </c>
    </row>
    <row r="20" spans="1:6">
      <c r="A20" s="348" t="s">
        <v>10</v>
      </c>
      <c r="B20" s="334">
        <v>21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7</v>
      </c>
    </row>
    <row r="29" spans="1:6">
      <c r="A29" s="355" t="s">
        <v>812</v>
      </c>
      <c r="B29" s="355">
        <v>140</v>
      </c>
      <c r="C29" s="356"/>
      <c r="D29" s="356"/>
      <c r="E29" s="356"/>
      <c r="F29" s="356"/>
    </row>
    <row r="30" spans="1:6">
      <c r="A30" s="355" t="s">
        <v>813</v>
      </c>
      <c r="B30" s="341">
        <v>43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1956.0342376000001</v>
      </c>
    </row>
    <row r="39" spans="1:6">
      <c r="A39" s="348" t="s">
        <v>30</v>
      </c>
      <c r="B39" s="348" t="s">
        <v>31</v>
      </c>
      <c r="C39" s="334">
        <v>5040</v>
      </c>
      <c r="D39" s="334">
        <v>86021094.864999995</v>
      </c>
      <c r="E39" s="334">
        <v>6422</v>
      </c>
      <c r="F39" s="334">
        <v>23202048.625</v>
      </c>
    </row>
    <row r="40" spans="1:6">
      <c r="A40" s="348" t="s">
        <v>30</v>
      </c>
      <c r="B40" s="348" t="s">
        <v>29</v>
      </c>
      <c r="C40" s="334">
        <v>0</v>
      </c>
      <c r="D40" s="334">
        <v>0</v>
      </c>
      <c r="E40" s="334">
        <v>0</v>
      </c>
      <c r="F40" s="334">
        <v>0</v>
      </c>
    </row>
    <row r="41" spans="1:6">
      <c r="A41" s="348" t="s">
        <v>32</v>
      </c>
      <c r="B41" s="348" t="s">
        <v>33</v>
      </c>
      <c r="C41" s="334">
        <v>39</v>
      </c>
      <c r="D41" s="334">
        <v>1094356.0888</v>
      </c>
      <c r="E41" s="334">
        <v>121</v>
      </c>
      <c r="F41" s="334">
        <v>432777.05570000003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46655</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54212.918265</v>
      </c>
      <c r="E47" s="334">
        <v>7</v>
      </c>
      <c r="F47" s="334">
        <v>26306.670221</v>
      </c>
    </row>
    <row r="48" spans="1:6">
      <c r="A48" s="348" t="s">
        <v>32</v>
      </c>
      <c r="B48" s="348" t="s">
        <v>29</v>
      </c>
      <c r="C48" s="334">
        <v>17</v>
      </c>
      <c r="D48" s="334">
        <v>485350.30547000002</v>
      </c>
      <c r="E48" s="334">
        <v>19</v>
      </c>
      <c r="F48" s="334">
        <v>461641.17106999998</v>
      </c>
    </row>
    <row r="49" spans="1:6">
      <c r="A49" s="348" t="s">
        <v>32</v>
      </c>
      <c r="B49" s="348" t="s">
        <v>40</v>
      </c>
      <c r="C49" s="334">
        <v>0</v>
      </c>
      <c r="D49" s="334">
        <v>0</v>
      </c>
      <c r="E49" s="334">
        <v>0</v>
      </c>
      <c r="F49" s="334">
        <v>0</v>
      </c>
    </row>
    <row r="50" spans="1:6">
      <c r="A50" s="348" t="s">
        <v>32</v>
      </c>
      <c r="B50" s="348" t="s">
        <v>41</v>
      </c>
      <c r="C50" s="334">
        <v>8</v>
      </c>
      <c r="D50" s="334">
        <v>364658.97292999999</v>
      </c>
      <c r="E50" s="334">
        <v>8</v>
      </c>
      <c r="F50" s="334">
        <v>671993.19726000004</v>
      </c>
    </row>
    <row r="51" spans="1:6">
      <c r="A51" s="348" t="s">
        <v>42</v>
      </c>
      <c r="B51" s="348" t="s">
        <v>43</v>
      </c>
      <c r="C51" s="334">
        <v>4</v>
      </c>
      <c r="D51" s="334">
        <v>125301.33471</v>
      </c>
      <c r="E51" s="334">
        <v>9</v>
      </c>
      <c r="F51" s="334">
        <v>59720.576649000002</v>
      </c>
    </row>
    <row r="52" spans="1:6">
      <c r="A52" s="348" t="s">
        <v>42</v>
      </c>
      <c r="B52" s="348" t="s">
        <v>29</v>
      </c>
      <c r="C52" s="334">
        <v>3</v>
      </c>
      <c r="D52" s="334">
        <v>110033.21454</v>
      </c>
      <c r="E52" s="334">
        <v>4</v>
      </c>
      <c r="F52" s="334">
        <v>113977.70385999999</v>
      </c>
    </row>
    <row r="53" spans="1:6">
      <c r="A53" s="348" t="s">
        <v>44</v>
      </c>
      <c r="B53" s="348" t="s">
        <v>45</v>
      </c>
      <c r="C53" s="334">
        <v>198</v>
      </c>
      <c r="D53" s="334">
        <v>4106302.0828999998</v>
      </c>
      <c r="E53" s="334">
        <v>375</v>
      </c>
      <c r="F53" s="334">
        <v>1286377.5359</v>
      </c>
    </row>
    <row r="54" spans="1:6">
      <c r="A54" s="348" t="s">
        <v>46</v>
      </c>
      <c r="B54" s="348" t="s">
        <v>47</v>
      </c>
      <c r="C54" s="334">
        <v>0</v>
      </c>
      <c r="D54" s="334">
        <v>0</v>
      </c>
      <c r="E54" s="334">
        <v>1</v>
      </c>
      <c r="F54" s="334">
        <v>1475655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32</v>
      </c>
      <c r="D57" s="334">
        <v>1062077.2382</v>
      </c>
      <c r="E57" s="334">
        <v>109</v>
      </c>
      <c r="F57" s="334">
        <v>2684043.5378999999</v>
      </c>
    </row>
    <row r="58" spans="1:6">
      <c r="A58" s="348" t="s">
        <v>49</v>
      </c>
      <c r="B58" s="348" t="s">
        <v>51</v>
      </c>
      <c r="C58" s="334">
        <v>32</v>
      </c>
      <c r="D58" s="334">
        <v>1120630.0105000001</v>
      </c>
      <c r="E58" s="334">
        <v>43</v>
      </c>
      <c r="F58" s="334">
        <v>382644.73485000001</v>
      </c>
    </row>
    <row r="59" spans="1:6">
      <c r="A59" s="348" t="s">
        <v>49</v>
      </c>
      <c r="B59" s="348" t="s">
        <v>52</v>
      </c>
      <c r="C59" s="334">
        <v>63</v>
      </c>
      <c r="D59" s="334">
        <v>3232912.8237000001</v>
      </c>
      <c r="E59" s="334">
        <v>160</v>
      </c>
      <c r="F59" s="334">
        <v>5347378.6945000002</v>
      </c>
    </row>
    <row r="60" spans="1:6">
      <c r="A60" s="348" t="s">
        <v>49</v>
      </c>
      <c r="B60" s="348" t="s">
        <v>53</v>
      </c>
      <c r="C60" s="334">
        <v>69</v>
      </c>
      <c r="D60" s="334">
        <v>4347555.1933000004</v>
      </c>
      <c r="E60" s="334">
        <v>91</v>
      </c>
      <c r="F60" s="334">
        <v>2840852.7267</v>
      </c>
    </row>
    <row r="61" spans="1:6">
      <c r="A61" s="348" t="s">
        <v>49</v>
      </c>
      <c r="B61" s="348" t="s">
        <v>54</v>
      </c>
      <c r="C61" s="334">
        <v>242</v>
      </c>
      <c r="D61" s="334">
        <v>10035677.33</v>
      </c>
      <c r="E61" s="334">
        <v>409</v>
      </c>
      <c r="F61" s="334">
        <v>4427125.1670000004</v>
      </c>
    </row>
    <row r="62" spans="1:6">
      <c r="A62" s="348" t="s">
        <v>49</v>
      </c>
      <c r="B62" s="348" t="s">
        <v>55</v>
      </c>
      <c r="C62" s="334">
        <v>5</v>
      </c>
      <c r="D62" s="334">
        <v>3702658.5762</v>
      </c>
      <c r="E62" s="334">
        <v>9</v>
      </c>
      <c r="F62" s="334">
        <v>709906.65382000001</v>
      </c>
    </row>
    <row r="63" spans="1:6">
      <c r="A63" s="348" t="s">
        <v>49</v>
      </c>
      <c r="B63" s="348" t="s">
        <v>29</v>
      </c>
      <c r="C63" s="334">
        <v>81</v>
      </c>
      <c r="D63" s="334">
        <v>5743065.0595000004</v>
      </c>
      <c r="E63" s="334">
        <v>87</v>
      </c>
      <c r="F63" s="334">
        <v>2355888.1993</v>
      </c>
    </row>
    <row r="64" spans="1:6">
      <c r="A64" s="348" t="s">
        <v>56</v>
      </c>
      <c r="B64" s="348" t="s">
        <v>57</v>
      </c>
      <c r="C64" s="334">
        <v>0</v>
      </c>
      <c r="D64" s="334">
        <v>0</v>
      </c>
      <c r="E64" s="334">
        <v>0</v>
      </c>
      <c r="F64" s="334">
        <v>0</v>
      </c>
    </row>
    <row r="65" spans="1:6">
      <c r="A65" s="348" t="s">
        <v>56</v>
      </c>
      <c r="B65" s="348" t="s">
        <v>29</v>
      </c>
      <c r="C65" s="334">
        <v>3</v>
      </c>
      <c r="D65" s="334">
        <v>83475.577942000004</v>
      </c>
      <c r="E65" s="334">
        <v>3</v>
      </c>
      <c r="F65" s="334">
        <v>11946.368348</v>
      </c>
    </row>
    <row r="66" spans="1:6">
      <c r="A66" s="348" t="s">
        <v>56</v>
      </c>
      <c r="B66" s="348" t="s">
        <v>58</v>
      </c>
      <c r="C66" s="334">
        <v>0</v>
      </c>
      <c r="D66" s="334">
        <v>0</v>
      </c>
      <c r="E66" s="334">
        <v>3</v>
      </c>
      <c r="F66" s="334">
        <v>261216.01292000001</v>
      </c>
    </row>
    <row r="67" spans="1:6">
      <c r="A67" s="355" t="s">
        <v>56</v>
      </c>
      <c r="B67" s="355" t="s">
        <v>59</v>
      </c>
      <c r="C67" s="334">
        <v>0</v>
      </c>
      <c r="D67" s="334">
        <v>0</v>
      </c>
      <c r="E67" s="334">
        <v>0</v>
      </c>
      <c r="F67" s="334">
        <v>0</v>
      </c>
    </row>
    <row r="68" spans="1:6">
      <c r="A68" s="341" t="s">
        <v>56</v>
      </c>
      <c r="B68" s="341" t="s">
        <v>60</v>
      </c>
      <c r="C68" s="334">
        <v>8</v>
      </c>
      <c r="D68" s="334">
        <v>105946.86185</v>
      </c>
      <c r="E68" s="334">
        <v>11</v>
      </c>
      <c r="F68" s="334">
        <v>45263.996950000001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43956166</v>
      </c>
      <c r="E73" s="476">
        <v>44835029.697879598</v>
      </c>
    </row>
    <row r="74" spans="1:6">
      <c r="A74" s="348" t="s">
        <v>64</v>
      </c>
      <c r="B74" s="348" t="s">
        <v>667</v>
      </c>
      <c r="C74" s="1212" t="s">
        <v>669</v>
      </c>
      <c r="D74" s="476">
        <v>979428.88950431824</v>
      </c>
      <c r="E74" s="476">
        <v>981049.37362020847</v>
      </c>
    </row>
    <row r="75" spans="1:6">
      <c r="A75" s="348" t="s">
        <v>65</v>
      </c>
      <c r="B75" s="348" t="s">
        <v>666</v>
      </c>
      <c r="C75" s="1212" t="s">
        <v>670</v>
      </c>
      <c r="D75" s="476">
        <v>13285820</v>
      </c>
      <c r="E75" s="476">
        <v>13561964.560992908</v>
      </c>
    </row>
    <row r="76" spans="1:6">
      <c r="A76" s="348" t="s">
        <v>65</v>
      </c>
      <c r="B76" s="348" t="s">
        <v>667</v>
      </c>
      <c r="C76" s="1212" t="s">
        <v>671</v>
      </c>
      <c r="D76" s="476">
        <v>125616.88950431827</v>
      </c>
      <c r="E76" s="476">
        <v>127790.97864184095</v>
      </c>
    </row>
    <row r="77" spans="1:6">
      <c r="A77" s="348" t="s">
        <v>66</v>
      </c>
      <c r="B77" s="348" t="s">
        <v>666</v>
      </c>
      <c r="C77" s="1212" t="s">
        <v>672</v>
      </c>
      <c r="D77" s="476">
        <v>129634037</v>
      </c>
      <c r="E77" s="476">
        <v>135242822.65283743</v>
      </c>
    </row>
    <row r="78" spans="1:6">
      <c r="A78" s="341" t="s">
        <v>66</v>
      </c>
      <c r="B78" s="341" t="s">
        <v>667</v>
      </c>
      <c r="C78" s="341" t="s">
        <v>673</v>
      </c>
      <c r="D78" s="1213">
        <v>15344082</v>
      </c>
      <c r="E78" s="1213">
        <v>15411659.270605873</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463768.22099136346</v>
      </c>
      <c r="C83" s="476">
        <v>463768.22099136346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622.4178474943709</v>
      </c>
    </row>
    <row r="92" spans="1:6">
      <c r="A92" s="341" t="s">
        <v>69</v>
      </c>
      <c r="B92" s="342">
        <v>21.629518686240488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3562</v>
      </c>
    </row>
    <row r="98" spans="1:6">
      <c r="A98" s="348" t="s">
        <v>72</v>
      </c>
      <c r="B98" s="334">
        <v>0</v>
      </c>
    </row>
    <row r="99" spans="1:6">
      <c r="A99" s="348" t="s">
        <v>73</v>
      </c>
      <c r="B99" s="334">
        <v>15</v>
      </c>
    </row>
    <row r="100" spans="1:6">
      <c r="A100" s="348" t="s">
        <v>74</v>
      </c>
      <c r="B100" s="334">
        <v>277</v>
      </c>
    </row>
    <row r="101" spans="1:6">
      <c r="A101" s="348" t="s">
        <v>75</v>
      </c>
      <c r="B101" s="334">
        <v>7</v>
      </c>
    </row>
    <row r="102" spans="1:6">
      <c r="A102" s="348" t="s">
        <v>76</v>
      </c>
      <c r="B102" s="334">
        <v>118</v>
      </c>
    </row>
    <row r="103" spans="1:6">
      <c r="A103" s="348" t="s">
        <v>77</v>
      </c>
      <c r="B103" s="334">
        <v>26</v>
      </c>
    </row>
    <row r="104" spans="1:6">
      <c r="A104" s="348" t="s">
        <v>78</v>
      </c>
      <c r="B104" s="334">
        <v>1689</v>
      </c>
    </row>
    <row r="105" spans="1:6">
      <c r="A105" s="341" t="s">
        <v>79</v>
      </c>
      <c r="B105" s="341">
        <v>5</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14</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28</v>
      </c>
    </row>
    <row r="130" spans="1:6">
      <c r="A130" s="348" t="s">
        <v>295</v>
      </c>
      <c r="B130" s="334">
        <v>0</v>
      </c>
    </row>
    <row r="131" spans="1:6">
      <c r="A131" s="348" t="s">
        <v>296</v>
      </c>
      <c r="B131" s="334">
        <v>4</v>
      </c>
    </row>
    <row r="132" spans="1:6">
      <c r="A132" s="341" t="s">
        <v>297</v>
      </c>
      <c r="B132" s="342">
        <v>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45904.824199530223</v>
      </c>
      <c r="C3" s="43" t="s">
        <v>170</v>
      </c>
      <c r="D3" s="43"/>
      <c r="E3" s="154"/>
      <c r="F3" s="43"/>
      <c r="G3" s="43"/>
      <c r="H3" s="43"/>
      <c r="I3" s="43"/>
      <c r="J3" s="43"/>
      <c r="K3" s="96"/>
    </row>
    <row r="4" spans="1:11">
      <c r="A4" s="383" t="s">
        <v>171</v>
      </c>
      <c r="B4" s="49">
        <f>IF(ISERROR('SEAP template'!B69),0,'SEAP template'!B69)</f>
        <v>644.04736618061133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0.21789935708484054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1475.655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1475.655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0.21789935708484054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321.54427577903039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23202.048624999999</v>
      </c>
      <c r="C5" s="17">
        <f>IF(ISERROR('Eigen informatie GS &amp; warmtenet'!B57),0,'Eigen informatie GS &amp; warmtenet'!B57)</f>
        <v>0</v>
      </c>
      <c r="D5" s="30">
        <f>(SUM(HH_hh_gas_kWh,HH_rest_gas_kWh)/1000)*0.902</f>
        <v>77591.027568229998</v>
      </c>
      <c r="E5" s="17">
        <f>B46*B57</f>
        <v>1112.2100475201212</v>
      </c>
      <c r="F5" s="17">
        <f>B51*B62</f>
        <v>8733.9649048008396</v>
      </c>
      <c r="G5" s="18"/>
      <c r="H5" s="17"/>
      <c r="I5" s="17"/>
      <c r="J5" s="17">
        <f>B50*B61+C50*C61</f>
        <v>0</v>
      </c>
      <c r="K5" s="17"/>
      <c r="L5" s="17"/>
      <c r="M5" s="17"/>
      <c r="N5" s="17">
        <f>B48*B59+C48*C59</f>
        <v>1474.0832851389841</v>
      </c>
      <c r="O5" s="17">
        <f>B69*B70*B71</f>
        <v>65.660000000000011</v>
      </c>
      <c r="P5" s="17">
        <f>B77*B78*B79/1000-B77*B78*B79/1000/B80</f>
        <v>228.8</v>
      </c>
    </row>
    <row r="6" spans="1:16">
      <c r="A6" s="16" t="s">
        <v>624</v>
      </c>
      <c r="B6" s="843">
        <f>kWh_PV_kleiner_dan_10kW</f>
        <v>622.4178474943709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23824.466472494369</v>
      </c>
      <c r="C8" s="21">
        <f>C5</f>
        <v>0</v>
      </c>
      <c r="D8" s="21">
        <f>D5</f>
        <v>77591.027568229998</v>
      </c>
      <c r="E8" s="21">
        <f>E5</f>
        <v>1112.2100475201212</v>
      </c>
      <c r="F8" s="21">
        <f>F5</f>
        <v>8733.9649048008396</v>
      </c>
      <c r="G8" s="21"/>
      <c r="H8" s="21"/>
      <c r="I8" s="21"/>
      <c r="J8" s="21">
        <f>J5</f>
        <v>0</v>
      </c>
      <c r="K8" s="21"/>
      <c r="L8" s="21">
        <f>L5</f>
        <v>0</v>
      </c>
      <c r="M8" s="21">
        <f>M5</f>
        <v>0</v>
      </c>
      <c r="N8" s="21">
        <f>N5</f>
        <v>1474.0832851389841</v>
      </c>
      <c r="O8" s="21">
        <f>O5</f>
        <v>65.660000000000011</v>
      </c>
      <c r="P8" s="21">
        <f>P5</f>
        <v>228.8</v>
      </c>
    </row>
    <row r="9" spans="1:16">
      <c r="B9" s="19"/>
      <c r="C9" s="19"/>
      <c r="D9" s="258"/>
      <c r="E9" s="19"/>
      <c r="F9" s="19"/>
      <c r="G9" s="19"/>
      <c r="H9" s="19"/>
      <c r="I9" s="19"/>
      <c r="J9" s="19"/>
      <c r="K9" s="19"/>
      <c r="L9" s="19"/>
      <c r="M9" s="19"/>
      <c r="N9" s="19"/>
      <c r="O9" s="19"/>
      <c r="P9" s="19"/>
    </row>
    <row r="10" spans="1:16">
      <c r="A10" s="24" t="s">
        <v>214</v>
      </c>
      <c r="B10" s="25">
        <f ca="1">'EF ele_warmte'!B12</f>
        <v>0.21789935708484054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5191.335927245862</v>
      </c>
      <c r="C12" s="23">
        <f ca="1">C10*C8</f>
        <v>0</v>
      </c>
      <c r="D12" s="23">
        <f>D8*D10</f>
        <v>15673.38756878246</v>
      </c>
      <c r="E12" s="23">
        <f>E10*E8</f>
        <v>252.47168078706753</v>
      </c>
      <c r="F12" s="23">
        <f>F10*F8</f>
        <v>2331.9686295818242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3562</v>
      </c>
      <c r="C18" s="166" t="s">
        <v>111</v>
      </c>
      <c r="D18" s="228"/>
      <c r="E18" s="15"/>
    </row>
    <row r="19" spans="1:7">
      <c r="A19" s="171" t="s">
        <v>72</v>
      </c>
      <c r="B19" s="37">
        <f>aantalw2001_ander</f>
        <v>0</v>
      </c>
      <c r="C19" s="166" t="s">
        <v>111</v>
      </c>
      <c r="D19" s="229"/>
      <c r="E19" s="15"/>
    </row>
    <row r="20" spans="1:7">
      <c r="A20" s="171" t="s">
        <v>73</v>
      </c>
      <c r="B20" s="37">
        <f>aantalw2001_propaan</f>
        <v>15</v>
      </c>
      <c r="C20" s="167">
        <f>IF(ISERROR(B20/SUM($B$20,$B$21,$B$22)*100),0,B20/SUM($B$20,$B$21,$B$22)*100)</f>
        <v>5.0167224080267561</v>
      </c>
      <c r="D20" s="229"/>
      <c r="E20" s="15"/>
    </row>
    <row r="21" spans="1:7">
      <c r="A21" s="171" t="s">
        <v>74</v>
      </c>
      <c r="B21" s="37">
        <f>aantalw2001_elektriciteit</f>
        <v>277</v>
      </c>
      <c r="C21" s="167">
        <f>IF(ISERROR(B21/SUM($B$20,$B$21,$B$22)*100),0,B21/SUM($B$20,$B$21,$B$22)*100)</f>
        <v>92.642140468227424</v>
      </c>
      <c r="D21" s="229"/>
      <c r="E21" s="15"/>
    </row>
    <row r="22" spans="1:7">
      <c r="A22" s="171" t="s">
        <v>75</v>
      </c>
      <c r="B22" s="37">
        <f>aantalw2001_hout</f>
        <v>7</v>
      </c>
      <c r="C22" s="167">
        <f>IF(ISERROR(B22/SUM($B$20,$B$21,$B$22)*100),0,B22/SUM($B$20,$B$21,$B$22)*100)</f>
        <v>2.3411371237458192</v>
      </c>
      <c r="D22" s="229"/>
      <c r="E22" s="15"/>
    </row>
    <row r="23" spans="1:7">
      <c r="A23" s="171" t="s">
        <v>76</v>
      </c>
      <c r="B23" s="37">
        <f>aantalw2001_niet_gespec</f>
        <v>118</v>
      </c>
      <c r="C23" s="166" t="s">
        <v>111</v>
      </c>
      <c r="D23" s="228"/>
      <c r="E23" s="15"/>
    </row>
    <row r="24" spans="1:7">
      <c r="A24" s="171" t="s">
        <v>77</v>
      </c>
      <c r="B24" s="37">
        <f>aantalw2001_steenkool</f>
        <v>26</v>
      </c>
      <c r="C24" s="166" t="s">
        <v>111</v>
      </c>
      <c r="D24" s="229"/>
      <c r="E24" s="15"/>
    </row>
    <row r="25" spans="1:7">
      <c r="A25" s="171" t="s">
        <v>78</v>
      </c>
      <c r="B25" s="37">
        <f>aantalw2001_stookolie</f>
        <v>1689</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698</v>
      </c>
      <c r="B28" s="37">
        <f>aantalHuishoudens2011</f>
        <v>6391</v>
      </c>
      <c r="C28" s="36"/>
      <c r="D28" s="228"/>
    </row>
    <row r="29" spans="1:7" s="15" customFormat="1">
      <c r="A29" s="230" t="s">
        <v>699</v>
      </c>
      <c r="B29" s="37">
        <f>SUM(HH_hh_gas_aantal,HH_rest_gas_aantal)</f>
        <v>5040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5040</v>
      </c>
      <c r="C32" s="167">
        <f>IF(ISERROR(B32/SUM($B$32,$B$34,$B$35,$B$36,$B$38,$B$39)*100),0,B32/SUM($B$32,$B$34,$B$35,$B$36,$B$38,$B$39)*100)</f>
        <v>79.009249098604798</v>
      </c>
      <c r="D32" s="233"/>
      <c r="G32" s="15"/>
    </row>
    <row r="33" spans="1:7">
      <c r="A33" s="171" t="s">
        <v>72</v>
      </c>
      <c r="B33" s="34" t="s">
        <v>111</v>
      </c>
      <c r="C33" s="167"/>
      <c r="D33" s="233"/>
      <c r="G33" s="15"/>
    </row>
    <row r="34" spans="1:7">
      <c r="A34" s="171" t="s">
        <v>73</v>
      </c>
      <c r="B34" s="33">
        <f>IF((($B$28-$B$32-$B$39-$B$77-$B$38)*C20/100)&lt;0,0,($B$28-$B$32-$B$39-$B$77-$B$38)*C20/100)</f>
        <v>49.173913043478272</v>
      </c>
      <c r="C34" s="167">
        <f>IF(ISERROR(B34/SUM($B$32,$B$34,$B$35,$B$36,$B$38,$B$39)*100),0,B34/SUM($B$32,$B$34,$B$35,$B$36,$B$38,$B$39)*100)</f>
        <v>0.77087181444549735</v>
      </c>
      <c r="D34" s="233"/>
      <c r="G34" s="15"/>
    </row>
    <row r="35" spans="1:7">
      <c r="A35" s="171" t="s">
        <v>74</v>
      </c>
      <c r="B35" s="33">
        <f>IF((($B$28-$B$32-$B$39-$B$77-$B$38)*C21/100)&lt;0,0,($B$28-$B$32-$B$39-$B$77-$B$38)*C21/100)</f>
        <v>908.07826086956527</v>
      </c>
      <c r="C35" s="167">
        <f>IF(ISERROR(B35/SUM($B$32,$B$34,$B$35,$B$36,$B$38,$B$39)*100),0,B35/SUM($B$32,$B$34,$B$35,$B$36,$B$38,$B$39)*100)</f>
        <v>14.235432840093514</v>
      </c>
      <c r="D35" s="233"/>
      <c r="G35" s="15"/>
    </row>
    <row r="36" spans="1:7">
      <c r="A36" s="171" t="s">
        <v>75</v>
      </c>
      <c r="B36" s="33">
        <f>IF((($B$28-$B$32-$B$39-$B$77-$B$38)*C22/100)&lt;0,0,($B$28-$B$32-$B$39-$B$77-$B$38)*C22/100)</f>
        <v>22.947826086956521</v>
      </c>
      <c r="C36" s="167">
        <f>IF(ISERROR(B36/SUM($B$32,$B$34,$B$35,$B$36,$B$38,$B$39)*100),0,B36/SUM($B$32,$B$34,$B$35,$B$36,$B$38,$B$39)*100)</f>
        <v>0.35974018007456532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358.79999999999995</v>
      </c>
      <c r="C39" s="167">
        <f>IF(ISERROR(B39/SUM($B$32,$B$34,$B$35,$B$36,$B$38,$B$39)*100),0,B39/SUM($B$32,$B$34,$B$35,$B$36,$B$38,$B$39)*100)</f>
        <v>5.6247060667816262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5040</v>
      </c>
      <c r="C44" s="34" t="s">
        <v>111</v>
      </c>
      <c r="D44" s="174"/>
    </row>
    <row r="45" spans="1:7">
      <c r="A45" s="171" t="s">
        <v>72</v>
      </c>
      <c r="B45" s="33" t="str">
        <f t="shared" si="0"/>
        <v>-</v>
      </c>
      <c r="C45" s="34" t="s">
        <v>111</v>
      </c>
      <c r="D45" s="174"/>
    </row>
    <row r="46" spans="1:7">
      <c r="A46" s="171" t="s">
        <v>73</v>
      </c>
      <c r="B46" s="33">
        <f t="shared" si="0"/>
        <v>49.173913043478272</v>
      </c>
      <c r="C46" s="34" t="s">
        <v>111</v>
      </c>
      <c r="D46" s="174"/>
    </row>
    <row r="47" spans="1:7">
      <c r="A47" s="171" t="s">
        <v>74</v>
      </c>
      <c r="B47" s="33">
        <f t="shared" si="0"/>
        <v>908.07826086956527</v>
      </c>
      <c r="C47" s="34" t="s">
        <v>111</v>
      </c>
      <c r="D47" s="174"/>
    </row>
    <row r="48" spans="1:7">
      <c r="A48" s="171" t="s">
        <v>75</v>
      </c>
      <c r="B48" s="33">
        <f t="shared" si="0"/>
        <v>22.947826086956521</v>
      </c>
      <c r="C48" s="33">
        <f>B48*10</f>
        <v>229.47826086956522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358.79999999999995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18747.83971407</v>
      </c>
      <c r="C5" s="17">
        <f>IF(ISERROR('Eigen informatie GS &amp; warmtenet'!B58),0,'Eigen informatie GS &amp; warmtenet'!B58)</f>
        <v>0</v>
      </c>
      <c r="D5" s="30">
        <f>SUM(D6:D12)</f>
        <v>26378.607760722804</v>
      </c>
      <c r="E5" s="17">
        <f>SUM(E6:E12)</f>
        <v>367.55724698134736</v>
      </c>
      <c r="F5" s="17">
        <f>SUM(F6:F12)</f>
        <v>5006.1406528825355</v>
      </c>
      <c r="G5" s="18"/>
      <c r="H5" s="17"/>
      <c r="I5" s="17"/>
      <c r="J5" s="17">
        <f>SUM(J6:J12)</f>
        <v>0</v>
      </c>
      <c r="K5" s="17"/>
      <c r="L5" s="17"/>
      <c r="M5" s="17"/>
      <c r="N5" s="17">
        <f>SUM(N6:N12)</f>
        <v>2340.3842005502429</v>
      </c>
      <c r="O5" s="17">
        <f>B38*B39*B40</f>
        <v>0</v>
      </c>
      <c r="P5" s="17">
        <f>B46*B47*B48/1000-B46*B47*B48/1000/B49</f>
        <v>76.266666666666666</v>
      </c>
      <c r="R5" s="32"/>
    </row>
    <row r="6" spans="1:18">
      <c r="A6" s="32" t="s">
        <v>54</v>
      </c>
      <c r="B6" s="37">
        <f>B26</f>
        <v>4427.1251670000001</v>
      </c>
      <c r="C6" s="33"/>
      <c r="D6" s="37">
        <f>IF(ISERROR(TER_kantoor_gas_kWh/1000),0,TER_kantoor_gas_kWh/1000)*0.902</f>
        <v>9052.1809516600006</v>
      </c>
      <c r="E6" s="33">
        <f>$C$26*'E Balans VL '!I12/100/3.6*1000000</f>
        <v>57.956521863466811</v>
      </c>
      <c r="F6" s="33">
        <f>$C$26*('E Balans VL '!L12+'E Balans VL '!N12)/100/3.6*1000000</f>
        <v>1128.8711693824439</v>
      </c>
      <c r="G6" s="34"/>
      <c r="H6" s="33"/>
      <c r="I6" s="33"/>
      <c r="J6" s="33">
        <f>$C$26*('E Balans VL '!D12+'E Balans VL '!E12)/100/3.6*1000000</f>
        <v>0</v>
      </c>
      <c r="K6" s="33"/>
      <c r="L6" s="33"/>
      <c r="M6" s="33"/>
      <c r="N6" s="33">
        <f>$C$26*'E Balans VL '!Y12/100/3.6*1000000</f>
        <v>4.4420332738706119</v>
      </c>
      <c r="O6" s="33"/>
      <c r="P6" s="33"/>
      <c r="R6" s="32"/>
    </row>
    <row r="7" spans="1:18">
      <c r="A7" s="32" t="s">
        <v>53</v>
      </c>
      <c r="B7" s="37">
        <f t="shared" ref="B7:B12" si="0">B27</f>
        <v>2840.8527266999999</v>
      </c>
      <c r="C7" s="33"/>
      <c r="D7" s="37">
        <f>IF(ISERROR(TER_horeca_gas_kWh/1000),0,TER_horeca_gas_kWh/1000)*0.902</f>
        <v>3921.4947843566006</v>
      </c>
      <c r="E7" s="33">
        <f>$C$27*'E Balans VL '!I9/100/3.6*1000000</f>
        <v>94.014944926318321</v>
      </c>
      <c r="F7" s="33">
        <f>$C$27*('E Balans VL '!L9+'E Balans VL '!N9)/100/3.6*1000000</f>
        <v>1221.5557850145715</v>
      </c>
      <c r="G7" s="34"/>
      <c r="H7" s="33"/>
      <c r="I7" s="33"/>
      <c r="J7" s="33">
        <f>$C$27*('E Balans VL '!D9+'E Balans VL '!E9)/100/3.6*1000000</f>
        <v>0</v>
      </c>
      <c r="K7" s="33"/>
      <c r="L7" s="33"/>
      <c r="M7" s="33"/>
      <c r="N7" s="33">
        <f>$C$27*'E Balans VL '!Y9/100/3.6*1000000</f>
        <v>0.68383450502550003</v>
      </c>
      <c r="O7" s="33"/>
      <c r="P7" s="33"/>
      <c r="R7" s="32"/>
    </row>
    <row r="8" spans="1:18">
      <c r="A8" s="6" t="s">
        <v>52</v>
      </c>
      <c r="B8" s="37">
        <f t="shared" si="0"/>
        <v>5347.3786945000002</v>
      </c>
      <c r="C8" s="33"/>
      <c r="D8" s="37">
        <f>IF(ISERROR(TER_handel_gas_kWh/1000),0,TER_handel_gas_kWh/1000)*0.902</f>
        <v>2916.0873669774001</v>
      </c>
      <c r="E8" s="33">
        <f>$C$28*'E Balans VL '!I13/100/3.6*1000000</f>
        <v>168.77144214985574</v>
      </c>
      <c r="F8" s="33">
        <f>$C$28*('E Balans VL '!L13+'E Balans VL '!N13)/100/3.6*1000000</f>
        <v>1048.7151234841961</v>
      </c>
      <c r="G8" s="34"/>
      <c r="H8" s="33"/>
      <c r="I8" s="33"/>
      <c r="J8" s="33">
        <f>$C$28*('E Balans VL '!D13+'E Balans VL '!E13)/100/3.6*1000000</f>
        <v>0</v>
      </c>
      <c r="K8" s="33"/>
      <c r="L8" s="33"/>
      <c r="M8" s="33"/>
      <c r="N8" s="33">
        <f>$C$28*'E Balans VL '!Y13/100/3.6*1000000</f>
        <v>6.3463003295431539</v>
      </c>
      <c r="O8" s="33"/>
      <c r="P8" s="33"/>
      <c r="R8" s="32"/>
    </row>
    <row r="9" spans="1:18">
      <c r="A9" s="32" t="s">
        <v>51</v>
      </c>
      <c r="B9" s="37">
        <f t="shared" si="0"/>
        <v>382.64473485000002</v>
      </c>
      <c r="C9" s="33"/>
      <c r="D9" s="37">
        <f>IF(ISERROR(TER_gezond_gas_kWh/1000),0,TER_gezond_gas_kWh/1000)*0.902</f>
        <v>1010.808269471</v>
      </c>
      <c r="E9" s="33">
        <f>$C$29*'E Balans VL '!I10/100/3.6*1000000</f>
        <v>4.8989720084143651E-2</v>
      </c>
      <c r="F9" s="33">
        <f>$C$29*('E Balans VL '!L10+'E Balans VL '!N10)/100/3.6*1000000</f>
        <v>79.720936379879291</v>
      </c>
      <c r="G9" s="34"/>
      <c r="H9" s="33"/>
      <c r="I9" s="33"/>
      <c r="J9" s="33">
        <f>$C$29*('E Balans VL '!D10+'E Balans VL '!E10)/100/3.6*1000000</f>
        <v>0</v>
      </c>
      <c r="K9" s="33"/>
      <c r="L9" s="33"/>
      <c r="M9" s="33"/>
      <c r="N9" s="33">
        <f>$C$29*'E Balans VL '!Y10/100/3.6*1000000</f>
        <v>4.4943432724920704</v>
      </c>
      <c r="O9" s="33"/>
      <c r="P9" s="33"/>
      <c r="R9" s="32"/>
    </row>
    <row r="10" spans="1:18">
      <c r="A10" s="32" t="s">
        <v>50</v>
      </c>
      <c r="B10" s="37">
        <f t="shared" si="0"/>
        <v>2684.0435379</v>
      </c>
      <c r="C10" s="33"/>
      <c r="D10" s="37">
        <f>IF(ISERROR(TER_ander_gas_kWh/1000),0,TER_ander_gas_kWh/1000)*0.902</f>
        <v>957.99366885640006</v>
      </c>
      <c r="E10" s="33">
        <f>$C$30*'E Balans VL '!I14/100/3.6*1000000</f>
        <v>4.0361702863250057</v>
      </c>
      <c r="F10" s="33">
        <f>$C$30*('E Balans VL '!L14+'E Balans VL '!N14)/100/3.6*1000000</f>
        <v>592.55029410657892</v>
      </c>
      <c r="G10" s="34"/>
      <c r="H10" s="33"/>
      <c r="I10" s="33"/>
      <c r="J10" s="33">
        <f>$C$30*('E Balans VL '!D14+'E Balans VL '!E14)/100/3.6*1000000</f>
        <v>0</v>
      </c>
      <c r="K10" s="33"/>
      <c r="L10" s="33"/>
      <c r="M10" s="33"/>
      <c r="N10" s="33">
        <f>$C$30*'E Balans VL '!Y14/100/3.6*1000000</f>
        <v>2115.2069371848979</v>
      </c>
      <c r="O10" s="33"/>
      <c r="P10" s="33"/>
      <c r="R10" s="32"/>
    </row>
    <row r="11" spans="1:18">
      <c r="A11" s="32" t="s">
        <v>55</v>
      </c>
      <c r="B11" s="37">
        <f t="shared" si="0"/>
        <v>709.90665381999997</v>
      </c>
      <c r="C11" s="33"/>
      <c r="D11" s="37">
        <f>IF(ISERROR(TER_onderwijs_gas_kWh/1000),0,TER_onderwijs_gas_kWh/1000)*0.902</f>
        <v>3339.7980357324</v>
      </c>
      <c r="E11" s="33">
        <f>$C$31*'E Balans VL '!I11/100/3.6*1000000</f>
        <v>1.2502051073489746</v>
      </c>
      <c r="F11" s="33">
        <f>$C$31*('E Balans VL '!L11+'E Balans VL '!N11)/100/3.6*1000000</f>
        <v>327.77674780834894</v>
      </c>
      <c r="G11" s="34"/>
      <c r="H11" s="33"/>
      <c r="I11" s="33"/>
      <c r="J11" s="33">
        <f>$C$31*('E Balans VL '!D11+'E Balans VL '!E11)/100/3.6*1000000</f>
        <v>0</v>
      </c>
      <c r="K11" s="33"/>
      <c r="L11" s="33"/>
      <c r="M11" s="33"/>
      <c r="N11" s="33">
        <f>$C$31*'E Balans VL '!Y11/100/3.6*1000000</f>
        <v>1.3225659132086809</v>
      </c>
      <c r="O11" s="33"/>
      <c r="P11" s="33"/>
      <c r="R11" s="32"/>
    </row>
    <row r="12" spans="1:18">
      <c r="A12" s="32" t="s">
        <v>260</v>
      </c>
      <c r="B12" s="37">
        <f t="shared" si="0"/>
        <v>2355.8881993</v>
      </c>
      <c r="C12" s="33"/>
      <c r="D12" s="37">
        <f>IF(ISERROR(TER_rest_gas_kWh/1000),0,TER_rest_gas_kWh/1000)*0.902</f>
        <v>5180.2446836690006</v>
      </c>
      <c r="E12" s="33">
        <f>$C$32*'E Balans VL '!I8/100/3.6*1000000</f>
        <v>41.478972927948377</v>
      </c>
      <c r="F12" s="33">
        <f>$C$32*('E Balans VL '!L8+'E Balans VL '!N8)/100/3.6*1000000</f>
        <v>606.95059670651722</v>
      </c>
      <c r="G12" s="34"/>
      <c r="H12" s="33"/>
      <c r="I12" s="33"/>
      <c r="J12" s="33">
        <f>$C$32*('E Balans VL '!D8+'E Balans VL '!E8)/100/3.6*1000000</f>
        <v>0</v>
      </c>
      <c r="K12" s="33"/>
      <c r="L12" s="33"/>
      <c r="M12" s="33"/>
      <c r="N12" s="33">
        <f>$C$32*'E Balans VL '!Y8/100/3.6*1000000</f>
        <v>207.88818607120479</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18747.83971407</v>
      </c>
      <c r="C16" s="21">
        <f t="shared" ca="1" si="1"/>
        <v>0</v>
      </c>
      <c r="D16" s="21">
        <f t="shared" ca="1" si="1"/>
        <v>26378.607760722804</v>
      </c>
      <c r="E16" s="21">
        <f t="shared" si="1"/>
        <v>367.55724698134736</v>
      </c>
      <c r="F16" s="21">
        <f t="shared" ca="1" si="1"/>
        <v>5006.1406528825355</v>
      </c>
      <c r="G16" s="21">
        <f t="shared" si="1"/>
        <v>0</v>
      </c>
      <c r="H16" s="21">
        <f t="shared" si="1"/>
        <v>0</v>
      </c>
      <c r="I16" s="21">
        <f t="shared" si="1"/>
        <v>0</v>
      </c>
      <c r="J16" s="21">
        <f t="shared" si="1"/>
        <v>0</v>
      </c>
      <c r="K16" s="21">
        <f t="shared" si="1"/>
        <v>0</v>
      </c>
      <c r="L16" s="21">
        <f t="shared" ca="1" si="1"/>
        <v>0</v>
      </c>
      <c r="M16" s="21">
        <f t="shared" si="1"/>
        <v>0</v>
      </c>
      <c r="N16" s="21">
        <f t="shared" ca="1" si="1"/>
        <v>2340.3842005502429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0.21789935708484054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4085.1422204254936</v>
      </c>
      <c r="C20" s="23">
        <f t="shared" ref="C20:P20" ca="1" si="2">C16*C18</f>
        <v>0</v>
      </c>
      <c r="D20" s="23">
        <f t="shared" ca="1" si="2"/>
        <v>5328.4787676660062</v>
      </c>
      <c r="E20" s="23">
        <f t="shared" si="2"/>
        <v>83.43549506476586</v>
      </c>
      <c r="F20" s="23">
        <f t="shared" ca="1" si="2"/>
        <v>1336.639554319637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4427.1251670000001</v>
      </c>
      <c r="C26" s="39">
        <f>IF(ISERROR(B26*3.6/1000000/'E Balans VL '!Z12*100),0,B26*3.6/1000000/'E Balans VL '!Z12*100)</f>
        <v>9.4832460376757535E-2</v>
      </c>
      <c r="D26" s="237" t="s">
        <v>660</v>
      </c>
      <c r="F26" s="6"/>
    </row>
    <row r="27" spans="1:18">
      <c r="A27" s="231" t="s">
        <v>53</v>
      </c>
      <c r="B27" s="33">
        <f>IF(ISERROR(TER_horeca_ele_kWh/1000),0,TER_horeca_ele_kWh/1000)</f>
        <v>2840.8527266999999</v>
      </c>
      <c r="C27" s="39">
        <f>IF(ISERROR(B27*3.6/1000000/'E Balans VL '!Z9*100),0,B27*3.6/1000000/'E Balans VL '!Z9*100)</f>
        <v>0.22796855661438969</v>
      </c>
      <c r="D27" s="237" t="s">
        <v>660</v>
      </c>
      <c r="F27" s="6"/>
    </row>
    <row r="28" spans="1:18">
      <c r="A28" s="171" t="s">
        <v>52</v>
      </c>
      <c r="B28" s="33">
        <f>IF(ISERROR(TER_handel_ele_kWh/1000),0,TER_handel_ele_kWh/1000)</f>
        <v>5347.3786945000002</v>
      </c>
      <c r="C28" s="39">
        <f>IF(ISERROR(B28*3.6/1000000/'E Balans VL '!Z13*100),0,B28*3.6/1000000/'E Balans VL '!Z13*100)</f>
        <v>0.15771700014693874</v>
      </c>
      <c r="D28" s="237" t="s">
        <v>660</v>
      </c>
      <c r="F28" s="6"/>
    </row>
    <row r="29" spans="1:18">
      <c r="A29" s="231" t="s">
        <v>51</v>
      </c>
      <c r="B29" s="33">
        <f>IF(ISERROR(TER_gezond_ele_kWh/1000),0,TER_gezond_ele_kWh/1000)</f>
        <v>382.64473485000002</v>
      </c>
      <c r="C29" s="39">
        <f>IF(ISERROR(B29*3.6/1000000/'E Balans VL '!Z10*100),0,B29*3.6/1000000/'E Balans VL '!Z10*100)</f>
        <v>4.085619859192597E-2</v>
      </c>
      <c r="D29" s="237" t="s">
        <v>660</v>
      </c>
      <c r="F29" s="6"/>
    </row>
    <row r="30" spans="1:18">
      <c r="A30" s="231" t="s">
        <v>50</v>
      </c>
      <c r="B30" s="33">
        <f>IF(ISERROR(TER_ander_ele_kWh/1000),0,TER_ander_ele_kWh/1000)</f>
        <v>2684.0435379</v>
      </c>
      <c r="C30" s="39">
        <f>IF(ISERROR(B30*3.6/1000000/'E Balans VL '!Z14*100),0,B30*3.6/1000000/'E Balans VL '!Z14*100)</f>
        <v>0.20273634823141934</v>
      </c>
      <c r="D30" s="237" t="s">
        <v>660</v>
      </c>
      <c r="F30" s="6"/>
    </row>
    <row r="31" spans="1:18">
      <c r="A31" s="231" t="s">
        <v>55</v>
      </c>
      <c r="B31" s="33">
        <f>IF(ISERROR(TER_onderwijs_ele_kWh/1000),0,TER_onderwijs_ele_kWh/1000)</f>
        <v>709.90665381999997</v>
      </c>
      <c r="C31" s="39">
        <f>IF(ISERROR(B31*3.6/1000000/'E Balans VL '!Z11*100),0,B31*3.6/1000000/'E Balans VL '!Z11*100)</f>
        <v>0.14335385192117259</v>
      </c>
      <c r="D31" s="237" t="s">
        <v>660</v>
      </c>
    </row>
    <row r="32" spans="1:18">
      <c r="A32" s="231" t="s">
        <v>260</v>
      </c>
      <c r="B32" s="33">
        <f>IF(ISERROR(TER_rest_ele_kWh/1000),0,TER_rest_ele_kWh/1000)</f>
        <v>2355.8881993</v>
      </c>
      <c r="C32" s="39">
        <f>IF(ISERROR(B32*3.6/1000000/'E Balans VL '!Z8*100),0,B32*3.6/1000000/'E Balans VL '!Z8*100)</f>
        <v>1.9533593722848241E-2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1639.3730942509999</v>
      </c>
      <c r="C5" s="17">
        <f>IF(ISERROR('Eigen informatie GS &amp; warmtenet'!B59),0,'Eigen informatie GS &amp; warmtenet'!B59)</f>
        <v>0</v>
      </c>
      <c r="D5" s="30">
        <f>SUM(D6:D15)</f>
        <v>1802.7176134894301</v>
      </c>
      <c r="E5" s="17">
        <f>SUM(E6:E15)</f>
        <v>154.36411273281789</v>
      </c>
      <c r="F5" s="17">
        <f>SUM(F6:F15)</f>
        <v>646.30081343866459</v>
      </c>
      <c r="G5" s="18"/>
      <c r="H5" s="17"/>
      <c r="I5" s="17"/>
      <c r="J5" s="17">
        <f>SUM(J6:J15)</f>
        <v>5.5036656021335659</v>
      </c>
      <c r="K5" s="17"/>
      <c r="L5" s="17"/>
      <c r="M5" s="17"/>
      <c r="N5" s="17">
        <f>SUM(N6:N15)</f>
        <v>530.54220051780533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46.655000000000001</v>
      </c>
      <c r="C8" s="33"/>
      <c r="D8" s="37">
        <f>IF( ISERROR(IND_metaal_Gas_kWH/1000),0,IND_metaal_Gas_kWH/1000)*0.902</f>
        <v>0</v>
      </c>
      <c r="E8" s="33">
        <f>C30*'E Balans VL '!I18/100/3.6*1000000</f>
        <v>1.678788040942663</v>
      </c>
      <c r="F8" s="33">
        <f>C30*'E Balans VL '!L18/100/3.6*1000000+C30*'E Balans VL '!N18/100/3.6*1000000</f>
        <v>20.372726107618103</v>
      </c>
      <c r="G8" s="34"/>
      <c r="H8" s="33"/>
      <c r="I8" s="33"/>
      <c r="J8" s="40">
        <f>C30*'E Balans VL '!D18/100/3.6*1000000+C30*'E Balans VL '!E18/100/3.6*1000000</f>
        <v>0</v>
      </c>
      <c r="K8" s="33"/>
      <c r="L8" s="33"/>
      <c r="M8" s="33"/>
      <c r="N8" s="33">
        <f>C30*'E Balans VL '!Y18/100/3.6*1000000</f>
        <v>2.3383168945680048</v>
      </c>
      <c r="O8" s="33"/>
      <c r="P8" s="33"/>
      <c r="R8" s="32"/>
    </row>
    <row r="9" spans="1:18">
      <c r="A9" s="6" t="s">
        <v>33</v>
      </c>
      <c r="B9" s="37">
        <f t="shared" si="0"/>
        <v>432.77705570000001</v>
      </c>
      <c r="C9" s="33"/>
      <c r="D9" s="37">
        <f>IF( ISERROR(IND_andere_gas_kWh/1000),0,IND_andere_gas_kWh/1000)*0.902</f>
        <v>987.10919209759993</v>
      </c>
      <c r="E9" s="33">
        <f>C31*'E Balans VL '!I19/100/3.6*1000000</f>
        <v>110.43491275949513</v>
      </c>
      <c r="F9" s="33">
        <f>C31*'E Balans VL '!L19/100/3.6*1000000+C31*'E Balans VL '!N19/100/3.6*1000000</f>
        <v>372.58851616958293</v>
      </c>
      <c r="G9" s="34"/>
      <c r="H9" s="33"/>
      <c r="I9" s="33"/>
      <c r="J9" s="40">
        <f>C31*'E Balans VL '!D19/100/3.6*1000000+C31*'E Balans VL '!E19/100/3.6*1000000</f>
        <v>0</v>
      </c>
      <c r="K9" s="33"/>
      <c r="L9" s="33"/>
      <c r="M9" s="33"/>
      <c r="N9" s="33">
        <f>C31*'E Balans VL '!Y19/100/3.6*1000000</f>
        <v>135.3442063836537</v>
      </c>
      <c r="O9" s="33"/>
      <c r="P9" s="33"/>
      <c r="R9" s="32"/>
    </row>
    <row r="10" spans="1:18">
      <c r="A10" s="6" t="s">
        <v>41</v>
      </c>
      <c r="B10" s="37">
        <f t="shared" si="0"/>
        <v>671.99319725999999</v>
      </c>
      <c r="C10" s="33"/>
      <c r="D10" s="37">
        <f>IF( ISERROR(IND_voed_gas_kWh/1000),0,IND_voed_gas_kWh/1000)*0.902</f>
        <v>328.92239358286002</v>
      </c>
      <c r="E10" s="33">
        <f>C32*'E Balans VL '!I20/100/3.6*1000000</f>
        <v>17.08298979662457</v>
      </c>
      <c r="F10" s="33">
        <f>C32*'E Balans VL '!L20/100/3.6*1000000+C32*'E Balans VL '!N20/100/3.6*1000000</f>
        <v>152.06197305210159</v>
      </c>
      <c r="G10" s="34"/>
      <c r="H10" s="33"/>
      <c r="I10" s="33"/>
      <c r="J10" s="40">
        <f>C32*'E Balans VL '!D20/100/3.6*1000000+C32*'E Balans VL '!E20/100/3.6*1000000</f>
        <v>0</v>
      </c>
      <c r="K10" s="33"/>
      <c r="L10" s="33"/>
      <c r="M10" s="33"/>
      <c r="N10" s="33">
        <f>C32*'E Balans VL '!Y20/100/3.6*1000000</f>
        <v>252.01566406457798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26.306670221000001</v>
      </c>
      <c r="C13" s="33"/>
      <c r="D13" s="37">
        <f>IF( ISERROR(IND_papier_gas_kWh/1000),0,IND_papier_gas_kWh/1000)*0.902</f>
        <v>48.900052275029999</v>
      </c>
      <c r="E13" s="33">
        <f>C35*'E Balans VL '!I23/100/3.6*1000000</f>
        <v>0.11282165549967517</v>
      </c>
      <c r="F13" s="33">
        <f>C35*'E Balans VL '!L23/100/3.6*1000000+C35*'E Balans VL '!N23/100/3.6*1000000</f>
        <v>0.66116827336020856</v>
      </c>
      <c r="G13" s="34"/>
      <c r="H13" s="33"/>
      <c r="I13" s="33"/>
      <c r="J13" s="40">
        <f>C35*'E Balans VL '!D23/100/3.6*1000000+C35*'E Balans VL '!E23/100/3.6*1000000</f>
        <v>1.7610872851451371</v>
      </c>
      <c r="K13" s="33"/>
      <c r="L13" s="33"/>
      <c r="M13" s="33"/>
      <c r="N13" s="33">
        <f>C35*'E Balans VL '!Y23/100/3.6*1000000</f>
        <v>47.884395767078423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461.64117106999998</v>
      </c>
      <c r="C15" s="33"/>
      <c r="D15" s="37">
        <f>IF( ISERROR(IND_rest_gas_kWh/1000),0,IND_rest_gas_kWh/1000)*0.902</f>
        <v>437.78597553394002</v>
      </c>
      <c r="E15" s="33">
        <f>C37*'E Balans VL '!I15/100/3.6*1000000</f>
        <v>25.054600480255829</v>
      </c>
      <c r="F15" s="33">
        <f>C37*'E Balans VL '!L15/100/3.6*1000000+C37*'E Balans VL '!N15/100/3.6*1000000</f>
        <v>100.61642983600183</v>
      </c>
      <c r="G15" s="34"/>
      <c r="H15" s="33"/>
      <c r="I15" s="33"/>
      <c r="J15" s="40">
        <f>C37*'E Balans VL '!D15/100/3.6*1000000+C37*'E Balans VL '!E15/100/3.6*1000000</f>
        <v>3.7425783169884288</v>
      </c>
      <c r="K15" s="33"/>
      <c r="L15" s="33"/>
      <c r="M15" s="33"/>
      <c r="N15" s="33">
        <f>C37*'E Balans VL '!Y15/100/3.6*1000000</f>
        <v>92.959617407927226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1639.3730942509999</v>
      </c>
      <c r="C18" s="21">
        <f>C5+C16</f>
        <v>0</v>
      </c>
      <c r="D18" s="21">
        <f>MAX((D5+D16),0)</f>
        <v>1802.7176134894301</v>
      </c>
      <c r="E18" s="21">
        <f>MAX((E5+E16),0)</f>
        <v>154.36411273281789</v>
      </c>
      <c r="F18" s="21">
        <f>MAX((F5+F16),0)</f>
        <v>646.30081343866459</v>
      </c>
      <c r="G18" s="21"/>
      <c r="H18" s="21"/>
      <c r="I18" s="21"/>
      <c r="J18" s="21">
        <f>MAX((J5+J16),0)</f>
        <v>5.5036656021335659</v>
      </c>
      <c r="K18" s="21"/>
      <c r="L18" s="21">
        <f>MAX((L5+L16),0)</f>
        <v>0</v>
      </c>
      <c r="M18" s="21"/>
      <c r="N18" s="21">
        <f>MAX((N5+N16),0)</f>
        <v>530.54220051780533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0.21789935708484054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357.21834325947856</v>
      </c>
      <c r="C22" s="23">
        <f ca="1">C18*C20</f>
        <v>0</v>
      </c>
      <c r="D22" s="23">
        <f>D18*D20</f>
        <v>364.14895792486487</v>
      </c>
      <c r="E22" s="23">
        <f>E18*E20</f>
        <v>35.040653590349663</v>
      </c>
      <c r="F22" s="23">
        <f>F18*F20</f>
        <v>172.56231718812344</v>
      </c>
      <c r="G22" s="23"/>
      <c r="H22" s="23"/>
      <c r="I22" s="23"/>
      <c r="J22" s="23">
        <f>J18*J20</f>
        <v>1.9482976231552822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46.655000000000001</v>
      </c>
      <c r="C30" s="39">
        <f>IF(ISERROR(B30*3.6/1000000/'E Balans VL '!Z18*100),0,B30*3.6/1000000/'E Balans VL '!Z18*100)</f>
        <v>9.8851942431623114E-3</v>
      </c>
      <c r="D30" s="237" t="s">
        <v>660</v>
      </c>
    </row>
    <row r="31" spans="1:18">
      <c r="A31" s="6" t="s">
        <v>33</v>
      </c>
      <c r="B31" s="37">
        <f>IF( ISERROR(IND_ander_ele_kWh/1000),0,IND_ander_ele_kWh/1000)</f>
        <v>432.77705570000001</v>
      </c>
      <c r="C31" s="39">
        <f>IF(ISERROR(B31*3.6/1000000/'E Balans VL '!Z19*100),0,B31*3.6/1000000/'E Balans VL '!Z19*100)</f>
        <v>1.8216568966185127E-2</v>
      </c>
      <c r="D31" s="237" t="s">
        <v>660</v>
      </c>
    </row>
    <row r="32" spans="1:18">
      <c r="A32" s="171" t="s">
        <v>41</v>
      </c>
      <c r="B32" s="37">
        <f>IF( ISERROR(IND_voed_ele_kWh/1000),0,IND_voed_ele_kWh/1000)</f>
        <v>671.99319725999999</v>
      </c>
      <c r="C32" s="39">
        <f>IF(ISERROR(B32*3.6/1000000/'E Balans VL '!Z20*100),0,B32*3.6/1000000/'E Balans VL '!Z20*100)</f>
        <v>0.11226406668239544</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26.306670221000001</v>
      </c>
      <c r="C35" s="39">
        <f>IF(ISERROR(B35*3.6/1000000/'E Balans VL '!Z22*100),0,B35*3.6/1000000/'E Balans VL '!Z22*100)</f>
        <v>3.3345123219652396E-3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461.64117106999998</v>
      </c>
      <c r="C37" s="39">
        <f>IF(ISERROR(B37*3.6/1000000/'E Balans VL '!Z15*100),0,B37*3.6/1000000/'E Balans VL '!Z15*100)</f>
        <v>3.7270079297025897E-3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173.698280509</v>
      </c>
      <c r="C5" s="17">
        <f>'Eigen informatie GS &amp; warmtenet'!B60</f>
        <v>0</v>
      </c>
      <c r="D5" s="30">
        <f>IF(ISERROR(SUM(LB_lb_gas_kWh,LB_rest_gas_kWh,onbekend_gas_kWh)/1000),0,SUM(LB_lb_gas_kWh,LB_rest_gas_kWh,onbekend_gas_kWh)/1000)*0.902</f>
        <v>3916.1562421992999</v>
      </c>
      <c r="E5" s="17">
        <f>B17*'E Balans VL '!I25/3.6*1000000/100</f>
        <v>4.4790117300362455</v>
      </c>
      <c r="F5" s="17">
        <f>B17*('E Balans VL '!L25/3.6*1000000+'E Balans VL '!N25/3.6*1000000)/100</f>
        <v>634.9002944910236</v>
      </c>
      <c r="G5" s="18"/>
      <c r="H5" s="17"/>
      <c r="I5" s="17"/>
      <c r="J5" s="17">
        <f>('E Balans VL '!D25+'E Balans VL '!E25)/3.6*1000000*landbouw!B17/100</f>
        <v>25.00616261421656</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173.698280509</v>
      </c>
      <c r="C8" s="21">
        <f>C5+C6</f>
        <v>0</v>
      </c>
      <c r="D8" s="21">
        <f>MAX((D5+D6),0)</f>
        <v>3916.1562421992999</v>
      </c>
      <c r="E8" s="21">
        <f>MAX((E5+E6),0)</f>
        <v>4.4790117300362455</v>
      </c>
      <c r="F8" s="21">
        <f>MAX((F5+F6),0)</f>
        <v>634.9002944910236</v>
      </c>
      <c r="G8" s="21"/>
      <c r="H8" s="21"/>
      <c r="I8" s="21"/>
      <c r="J8" s="21">
        <f>MAX((J5+J6),0)</f>
        <v>25.00616261421656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0.21789935708484054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37.848743649653386</v>
      </c>
      <c r="C12" s="23">
        <f ca="1">C8*C10</f>
        <v>0</v>
      </c>
      <c r="D12" s="23">
        <f>D8*D10</f>
        <v>791.06356092425858</v>
      </c>
      <c r="E12" s="23">
        <f>E8*E10</f>
        <v>1.0167356627182278</v>
      </c>
      <c r="F12" s="23">
        <f>F8*F10</f>
        <v>169.51837862910332</v>
      </c>
      <c r="G12" s="23"/>
      <c r="H12" s="23"/>
      <c r="I12" s="23"/>
      <c r="J12" s="23">
        <f>J8*J10</f>
        <v>8.8521815654326623</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2.4492608103380425E-2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9.6076957533425738</v>
      </c>
      <c r="C26" s="247">
        <f>B26*'GWP N2O_CH4'!B5</f>
        <v>201.76161082019405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1.1741964170052841</v>
      </c>
      <c r="C27" s="247">
        <f>B27*'GWP N2O_CH4'!B5</f>
        <v>24.658124757110965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0.1003965122043014</v>
      </c>
      <c r="C28" s="247">
        <f>B28*'GWP N2O_CH4'!B4</f>
        <v>31.122918783333436</v>
      </c>
      <c r="D28" s="50"/>
    </row>
    <row r="29" spans="1:4">
      <c r="A29" s="41" t="s">
        <v>277</v>
      </c>
      <c r="B29" s="247">
        <f>B34*'ha_N2O bodem landbouw'!B4</f>
        <v>1.4758329045759964</v>
      </c>
      <c r="C29" s="247">
        <f>B29*'GWP N2O_CH4'!B4</f>
        <v>457.50820041855889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3.3214260262257695E-4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1.5764989754107997E-4</v>
      </c>
      <c r="C5" s="463" t="s">
        <v>211</v>
      </c>
      <c r="D5" s="448">
        <f>SUM(D6:D11)</f>
        <v>3.4059446951722675E-4</v>
      </c>
      <c r="E5" s="448">
        <f>SUM(E6:E11)</f>
        <v>1.5489798750102333E-3</v>
      </c>
      <c r="F5" s="461" t="s">
        <v>211</v>
      </c>
      <c r="G5" s="448">
        <f>SUM(G6:G11)</f>
        <v>0.48976310026599201</v>
      </c>
      <c r="H5" s="448">
        <f>SUM(H6:H11)</f>
        <v>9.451606270748214E-2</v>
      </c>
      <c r="I5" s="463" t="s">
        <v>211</v>
      </c>
      <c r="J5" s="463" t="s">
        <v>211</v>
      </c>
      <c r="K5" s="463" t="s">
        <v>211</v>
      </c>
      <c r="L5" s="463" t="s">
        <v>211</v>
      </c>
      <c r="M5" s="448">
        <f>SUM(M6:M11)</f>
        <v>1.8261782157984466E-2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3.708172378111184E-5</v>
      </c>
      <c r="C6" s="449"/>
      <c r="D6" s="962">
        <f>vkm_2011_GW_PW*SUMIFS(TableVerdeelsleutelVkm[CNG],TableVerdeelsleutelVkm[Voertuigtype],"Lichte voertuigen")*SUMIFS(TableECFTransport[EnergieConsumptieFactor (PJ per km)],TableECFTransport[Index],CONCATENATE($A6,"_CNG_CNG"))</f>
        <v>7.3682034696361714E-5</v>
      </c>
      <c r="E6" s="962">
        <f>vkm_2011_GW_PW*SUMIFS(TableVerdeelsleutelVkm[LPG],TableVerdeelsleutelVkm[Voertuigtype],"Lichte voertuigen")*SUMIFS(TableECFTransport[EnergieConsumptieFactor (PJ per km)],TableECFTransport[Index],CONCATENATE($A6,"_LPG_LPG"))</f>
        <v>2.8996521955958334E-4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6.8943779924426032E-2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1.9947943467312941E-2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2.769948184704123E-3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9.3850812372528267E-3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3.0317821093731304E-6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2.9570954989765937E-4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1.1208009075349549E-5</v>
      </c>
      <c r="C8" s="449"/>
      <c r="D8" s="451">
        <f>vkm_2011_NGW_PW*SUMIFS(TableVerdeelsleutelVkm[CNG],TableVerdeelsleutelVkm[Voertuigtype],"Lichte voertuigen")*SUMIFS(TableECFTransport[EnergieConsumptieFactor (PJ per km)],TableECFTransport[Index],CONCATENATE($A8,"_CNG_CNG"))</f>
        <v>3.9432949778094346E-5</v>
      </c>
      <c r="E8" s="451">
        <f>vkm_2011_NGW_PW*SUMIFS(TableVerdeelsleutelVkm[LPG],TableVerdeelsleutelVkm[Voertuigtype],"Lichte voertuigen")*SUMIFS(TableECFTransport[EnergieConsumptieFactor (PJ per km)],TableECFTransport[Index],CONCATENATE($A8,"_LPG_LPG"))</f>
        <v>1.4351666821875211E-4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3.1864734744990041E-2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1.0351726746489145E-2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1.3141819729420999E-3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1.5363878651937905E-3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4.6937952001127358E-7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4.8408422842901841E-5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1.0936016468461857E-4</v>
      </c>
      <c r="C10" s="449"/>
      <c r="D10" s="451">
        <f>vkm_2011_SW_PW*SUMIFS(TableVerdeelsleutelVkm[CNG],TableVerdeelsleutelVkm[Voertuigtype],"Lichte voertuigen")*SUMIFS(TableECFTransport[EnergieConsumptieFactor (PJ per km)],TableECFTransport[Index],CONCATENATE($A10,"_CNG_CNG"))</f>
        <v>2.2747948504277067E-4</v>
      </c>
      <c r="E10" s="451">
        <f>vkm_2011_SW_PW*SUMIFS(TableVerdeelsleutelVkm[LPG],TableVerdeelsleutelVkm[Voertuigtype],"Lichte voertuigen")*SUMIFS(TableECFTransport[EnergieConsumptieFactor (PJ per km)],TableECFTransport[Index],CONCATENATE($A10,"_LPG_LPG"))</f>
        <v>1.115497987231898E-3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0.23758826355222129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6.416400830861152E-2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9.4082262263951218E-3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0.140444852941908</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4.8883023439151627E-5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4.4253078012025581E-3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43.791638205855541</v>
      </c>
      <c r="C14" s="21"/>
      <c r="D14" s="21">
        <f t="shared" ref="D14:M14" si="0">((D5)*10^9/3600)+D12</f>
        <v>94.60957486589632</v>
      </c>
      <c r="E14" s="21">
        <f t="shared" si="0"/>
        <v>430.2721875028426</v>
      </c>
      <c r="F14" s="21"/>
      <c r="G14" s="21">
        <f t="shared" si="0"/>
        <v>136045.30562944221</v>
      </c>
      <c r="H14" s="21">
        <f t="shared" si="0"/>
        <v>26254.461863189485</v>
      </c>
      <c r="I14" s="21"/>
      <c r="J14" s="21"/>
      <c r="K14" s="21"/>
      <c r="L14" s="21"/>
      <c r="M14" s="21">
        <f t="shared" si="0"/>
        <v>5072.7172661067962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0.21789935708484054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9.542169810747863</v>
      </c>
      <c r="C18" s="23"/>
      <c r="D18" s="23">
        <f t="shared" ref="D18:M18" si="1">D14*D16</f>
        <v>19.111134122911057</v>
      </c>
      <c r="E18" s="23">
        <f t="shared" si="1"/>
        <v>97.671786563145275</v>
      </c>
      <c r="F18" s="23"/>
      <c r="G18" s="23">
        <f t="shared" si="1"/>
        <v>36324.096603061073</v>
      </c>
      <c r="H18" s="23">
        <f t="shared" si="1"/>
        <v>6537.361003934182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6.029112317308293E-3</v>
      </c>
      <c r="H50" s="321">
        <f t="shared" si="2"/>
        <v>0</v>
      </c>
      <c r="I50" s="321">
        <f t="shared" si="2"/>
        <v>0</v>
      </c>
      <c r="J50" s="321">
        <f t="shared" si="2"/>
        <v>0</v>
      </c>
      <c r="K50" s="321">
        <f t="shared" si="2"/>
        <v>0</v>
      </c>
      <c r="L50" s="321">
        <f t="shared" si="2"/>
        <v>0</v>
      </c>
      <c r="M50" s="321">
        <f t="shared" si="2"/>
        <v>1.8700957586081961E-4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6.029112317308293E-3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1.8700957586081961E-4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1674.7534214745258</v>
      </c>
      <c r="H54" s="21">
        <f t="shared" si="3"/>
        <v>0</v>
      </c>
      <c r="I54" s="21">
        <f t="shared" si="3"/>
        <v>0</v>
      </c>
      <c r="J54" s="21">
        <f t="shared" si="3"/>
        <v>0</v>
      </c>
      <c r="K54" s="21">
        <f t="shared" si="3"/>
        <v>0</v>
      </c>
      <c r="L54" s="21">
        <f t="shared" si="3"/>
        <v>0</v>
      </c>
      <c r="M54" s="21">
        <f t="shared" si="3"/>
        <v>51.947104405783222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0.21789935708484054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447.1591635336984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644.04736618061133</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644.04736618061133</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20223.494714069999</v>
      </c>
      <c r="D10" s="718">
        <f ca="1">tertiair!C16</f>
        <v>0</v>
      </c>
      <c r="E10" s="718">
        <f ca="1">tertiair!D16</f>
        <v>26378.607760722804</v>
      </c>
      <c r="F10" s="718">
        <f>tertiair!E16</f>
        <v>367.55724698134736</v>
      </c>
      <c r="G10" s="718">
        <f ca="1">tertiair!F16</f>
        <v>5006.1406528825355</v>
      </c>
      <c r="H10" s="718">
        <f>tertiair!G16</f>
        <v>0</v>
      </c>
      <c r="I10" s="718">
        <f>tertiair!H16</f>
        <v>0</v>
      </c>
      <c r="J10" s="718">
        <f>tertiair!I16</f>
        <v>0</v>
      </c>
      <c r="K10" s="718">
        <f>tertiair!J16</f>
        <v>0</v>
      </c>
      <c r="L10" s="718">
        <f>tertiair!K16</f>
        <v>0</v>
      </c>
      <c r="M10" s="718">
        <f ca="1">tertiair!L16</f>
        <v>0</v>
      </c>
      <c r="N10" s="718">
        <f>tertiair!M16</f>
        <v>0</v>
      </c>
      <c r="O10" s="718">
        <f ca="1">tertiair!N16</f>
        <v>2340.3842005502429</v>
      </c>
      <c r="P10" s="718">
        <f>tertiair!O16</f>
        <v>0</v>
      </c>
      <c r="Q10" s="719">
        <f>tertiair!P16</f>
        <v>76.266666666666666</v>
      </c>
      <c r="R10" s="721">
        <f ca="1">SUM(C10:Q10)</f>
        <v>54392.451241873598</v>
      </c>
      <c r="S10" s="67"/>
    </row>
    <row r="11" spans="1:19" s="474" customFormat="1">
      <c r="A11" s="870" t="s">
        <v>225</v>
      </c>
      <c r="B11" s="875"/>
      <c r="C11" s="718">
        <f>huishoudens!B8</f>
        <v>23824.466472494369</v>
      </c>
      <c r="D11" s="718">
        <f>huishoudens!C8</f>
        <v>0</v>
      </c>
      <c r="E11" s="718">
        <f>huishoudens!D8</f>
        <v>77591.027568229998</v>
      </c>
      <c r="F11" s="718">
        <f>huishoudens!E8</f>
        <v>1112.2100475201212</v>
      </c>
      <c r="G11" s="718">
        <f>huishoudens!F8</f>
        <v>8733.9649048008396</v>
      </c>
      <c r="H11" s="718">
        <f>huishoudens!G8</f>
        <v>0</v>
      </c>
      <c r="I11" s="718">
        <f>huishoudens!H8</f>
        <v>0</v>
      </c>
      <c r="J11" s="718">
        <f>huishoudens!I8</f>
        <v>0</v>
      </c>
      <c r="K11" s="718">
        <f>huishoudens!J8</f>
        <v>0</v>
      </c>
      <c r="L11" s="718">
        <f>huishoudens!K8</f>
        <v>0</v>
      </c>
      <c r="M11" s="718">
        <f>huishoudens!L8</f>
        <v>0</v>
      </c>
      <c r="N11" s="718">
        <f>huishoudens!M8</f>
        <v>0</v>
      </c>
      <c r="O11" s="718">
        <f>huishoudens!N8</f>
        <v>1474.0832851389841</v>
      </c>
      <c r="P11" s="718">
        <f>huishoudens!O8</f>
        <v>65.660000000000011</v>
      </c>
      <c r="Q11" s="719">
        <f>huishoudens!P8</f>
        <v>228.8</v>
      </c>
      <c r="R11" s="721">
        <f>SUM(C11:Q11)</f>
        <v>113030.21227818432</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1639.3730942509999</v>
      </c>
      <c r="D13" s="718">
        <f>industrie!C18</f>
        <v>0</v>
      </c>
      <c r="E13" s="718">
        <f>industrie!D18</f>
        <v>1802.7176134894301</v>
      </c>
      <c r="F13" s="718">
        <f>industrie!E18</f>
        <v>154.36411273281789</v>
      </c>
      <c r="G13" s="718">
        <f>industrie!F18</f>
        <v>646.30081343866459</v>
      </c>
      <c r="H13" s="718">
        <f>industrie!G18</f>
        <v>0</v>
      </c>
      <c r="I13" s="718">
        <f>industrie!H18</f>
        <v>0</v>
      </c>
      <c r="J13" s="718">
        <f>industrie!I18</f>
        <v>0</v>
      </c>
      <c r="K13" s="718">
        <f>industrie!J18</f>
        <v>5.5036656021335659</v>
      </c>
      <c r="L13" s="718">
        <f>industrie!K18</f>
        <v>0</v>
      </c>
      <c r="M13" s="718">
        <f>industrie!L18</f>
        <v>0</v>
      </c>
      <c r="N13" s="718">
        <f>industrie!M18</f>
        <v>0</v>
      </c>
      <c r="O13" s="718">
        <f>industrie!N18</f>
        <v>530.54220051780533</v>
      </c>
      <c r="P13" s="718">
        <f>industrie!O18</f>
        <v>0</v>
      </c>
      <c r="Q13" s="719">
        <f>industrie!P18</f>
        <v>0</v>
      </c>
      <c r="R13" s="721">
        <f>SUM(C13:Q13)</f>
        <v>4778.8015000318519</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45687.334280815368</v>
      </c>
      <c r="D15" s="723">
        <f t="shared" ref="D15:Q15" ca="1" si="0">SUM(D9:D14)</f>
        <v>0</v>
      </c>
      <c r="E15" s="723">
        <f t="shared" ca="1" si="0"/>
        <v>105772.35294244223</v>
      </c>
      <c r="F15" s="723">
        <f t="shared" si="0"/>
        <v>1634.1314072342864</v>
      </c>
      <c r="G15" s="723">
        <f t="shared" ca="1" si="0"/>
        <v>14386.406371122041</v>
      </c>
      <c r="H15" s="723">
        <f t="shared" si="0"/>
        <v>0</v>
      </c>
      <c r="I15" s="723">
        <f t="shared" si="0"/>
        <v>0</v>
      </c>
      <c r="J15" s="723">
        <f t="shared" si="0"/>
        <v>0</v>
      </c>
      <c r="K15" s="723">
        <f t="shared" si="0"/>
        <v>5.5036656021335659</v>
      </c>
      <c r="L15" s="723">
        <f t="shared" si="0"/>
        <v>0</v>
      </c>
      <c r="M15" s="723">
        <f t="shared" ca="1" si="0"/>
        <v>0</v>
      </c>
      <c r="N15" s="723">
        <f t="shared" si="0"/>
        <v>0</v>
      </c>
      <c r="O15" s="723">
        <f t="shared" ca="1" si="0"/>
        <v>4345.0096862070322</v>
      </c>
      <c r="P15" s="723">
        <f t="shared" si="0"/>
        <v>65.660000000000011</v>
      </c>
      <c r="Q15" s="724">
        <f t="shared" si="0"/>
        <v>305.06666666666666</v>
      </c>
      <c r="R15" s="725">
        <f ca="1">SUM(R9:R14)</f>
        <v>172201.46502008976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1674.7534214745258</v>
      </c>
      <c r="I18" s="718">
        <f>transport!H54</f>
        <v>0</v>
      </c>
      <c r="J18" s="718">
        <f>transport!I54</f>
        <v>0</v>
      </c>
      <c r="K18" s="718">
        <f>transport!J54</f>
        <v>0</v>
      </c>
      <c r="L18" s="718">
        <f>transport!K54</f>
        <v>0</v>
      </c>
      <c r="M18" s="718">
        <f>transport!L54</f>
        <v>0</v>
      </c>
      <c r="N18" s="718">
        <f>transport!M54</f>
        <v>51.947104405783222</v>
      </c>
      <c r="O18" s="718">
        <f>transport!N54</f>
        <v>0</v>
      </c>
      <c r="P18" s="718">
        <f>transport!O54</f>
        <v>0</v>
      </c>
      <c r="Q18" s="719">
        <f>transport!P54</f>
        <v>0</v>
      </c>
      <c r="R18" s="721">
        <f>SUM(C18:Q18)</f>
        <v>1726.700525880309</v>
      </c>
      <c r="S18" s="67"/>
    </row>
    <row r="19" spans="1:19" s="474" customFormat="1" ht="15" thickBot="1">
      <c r="A19" s="870" t="s">
        <v>307</v>
      </c>
      <c r="B19" s="875"/>
      <c r="C19" s="727">
        <f>transport!B14</f>
        <v>43.791638205855541</v>
      </c>
      <c r="D19" s="727">
        <f>transport!C14</f>
        <v>0</v>
      </c>
      <c r="E19" s="727">
        <f>transport!D14</f>
        <v>94.60957486589632</v>
      </c>
      <c r="F19" s="727">
        <f>transport!E14</f>
        <v>430.2721875028426</v>
      </c>
      <c r="G19" s="727">
        <f>transport!F14</f>
        <v>0</v>
      </c>
      <c r="H19" s="727">
        <f>transport!G14</f>
        <v>136045.30562944221</v>
      </c>
      <c r="I19" s="727">
        <f>transport!H14</f>
        <v>26254.461863189485</v>
      </c>
      <c r="J19" s="727">
        <f>transport!I14</f>
        <v>0</v>
      </c>
      <c r="K19" s="727">
        <f>transport!J14</f>
        <v>0</v>
      </c>
      <c r="L19" s="727">
        <f>transport!K14</f>
        <v>0</v>
      </c>
      <c r="M19" s="727">
        <f>transport!L14</f>
        <v>0</v>
      </c>
      <c r="N19" s="727">
        <f>transport!M14</f>
        <v>5072.7172661067962</v>
      </c>
      <c r="O19" s="727">
        <f>transport!N14</f>
        <v>0</v>
      </c>
      <c r="P19" s="727">
        <f>transport!O14</f>
        <v>0</v>
      </c>
      <c r="Q19" s="728">
        <f>transport!P14</f>
        <v>0</v>
      </c>
      <c r="R19" s="729">
        <f>SUM(C19:Q19)</f>
        <v>167941.15815931308</v>
      </c>
      <c r="S19" s="67"/>
    </row>
    <row r="20" spans="1:19" s="474" customFormat="1" ht="15.75" thickBot="1">
      <c r="A20" s="730" t="s">
        <v>230</v>
      </c>
      <c r="B20" s="878"/>
      <c r="C20" s="873">
        <f>SUM(C17:C19)</f>
        <v>43.791638205855541</v>
      </c>
      <c r="D20" s="731">
        <f t="shared" ref="D20:R20" si="1">SUM(D17:D19)</f>
        <v>0</v>
      </c>
      <c r="E20" s="731">
        <f t="shared" si="1"/>
        <v>94.60957486589632</v>
      </c>
      <c r="F20" s="731">
        <f t="shared" si="1"/>
        <v>430.2721875028426</v>
      </c>
      <c r="G20" s="731">
        <f t="shared" si="1"/>
        <v>0</v>
      </c>
      <c r="H20" s="731">
        <f t="shared" si="1"/>
        <v>137720.05905091675</v>
      </c>
      <c r="I20" s="731">
        <f t="shared" si="1"/>
        <v>26254.461863189485</v>
      </c>
      <c r="J20" s="731">
        <f t="shared" si="1"/>
        <v>0</v>
      </c>
      <c r="K20" s="731">
        <f t="shared" si="1"/>
        <v>0</v>
      </c>
      <c r="L20" s="731">
        <f t="shared" si="1"/>
        <v>0</v>
      </c>
      <c r="M20" s="731">
        <f t="shared" si="1"/>
        <v>0</v>
      </c>
      <c r="N20" s="731">
        <f t="shared" si="1"/>
        <v>5124.6643705125798</v>
      </c>
      <c r="O20" s="731">
        <f t="shared" si="1"/>
        <v>0</v>
      </c>
      <c r="P20" s="731">
        <f t="shared" si="1"/>
        <v>0</v>
      </c>
      <c r="Q20" s="732">
        <f t="shared" si="1"/>
        <v>0</v>
      </c>
      <c r="R20" s="733">
        <f t="shared" si="1"/>
        <v>169667.85868519338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173.698280509</v>
      </c>
      <c r="D22" s="727">
        <f>+landbouw!C8</f>
        <v>0</v>
      </c>
      <c r="E22" s="727">
        <f>+landbouw!D8</f>
        <v>3916.1562421992999</v>
      </c>
      <c r="F22" s="727">
        <f>+landbouw!E8</f>
        <v>4.4790117300362455</v>
      </c>
      <c r="G22" s="727">
        <f>+landbouw!F8</f>
        <v>634.9002944910236</v>
      </c>
      <c r="H22" s="727">
        <f>+landbouw!G8</f>
        <v>0</v>
      </c>
      <c r="I22" s="727">
        <f>+landbouw!H8</f>
        <v>0</v>
      </c>
      <c r="J22" s="727">
        <f>+landbouw!I8</f>
        <v>0</v>
      </c>
      <c r="K22" s="727">
        <f>+landbouw!J8</f>
        <v>25.00616261421656</v>
      </c>
      <c r="L22" s="727">
        <f>+landbouw!K8</f>
        <v>0</v>
      </c>
      <c r="M22" s="727">
        <f>+landbouw!L8</f>
        <v>0</v>
      </c>
      <c r="N22" s="727">
        <f>+landbouw!M8</f>
        <v>0</v>
      </c>
      <c r="O22" s="727">
        <f>+landbouw!N8</f>
        <v>0</v>
      </c>
      <c r="P22" s="727">
        <f>+landbouw!O8</f>
        <v>0</v>
      </c>
      <c r="Q22" s="728">
        <f>+landbouw!P8</f>
        <v>0</v>
      </c>
      <c r="R22" s="729">
        <f>SUM(C22:Q22)</f>
        <v>4754.2399915435772</v>
      </c>
      <c r="S22" s="67"/>
    </row>
    <row r="23" spans="1:19" s="474" customFormat="1" ht="17.25" thickTop="1" thickBot="1">
      <c r="A23" s="734" t="s">
        <v>116</v>
      </c>
      <c r="B23" s="864"/>
      <c r="C23" s="735">
        <f ca="1">C20+C15+C22</f>
        <v>45904.824199530223</v>
      </c>
      <c r="D23" s="735">
        <f t="shared" ref="D23:Q23" ca="1" si="2">D20+D15+D22</f>
        <v>0</v>
      </c>
      <c r="E23" s="735">
        <f t="shared" ca="1" si="2"/>
        <v>109783.11875950743</v>
      </c>
      <c r="F23" s="735">
        <f t="shared" si="2"/>
        <v>2068.8826064671653</v>
      </c>
      <c r="G23" s="735">
        <f t="shared" ca="1" si="2"/>
        <v>15021.306665613065</v>
      </c>
      <c r="H23" s="735">
        <f t="shared" si="2"/>
        <v>137720.05905091675</v>
      </c>
      <c r="I23" s="735">
        <f t="shared" si="2"/>
        <v>26254.461863189485</v>
      </c>
      <c r="J23" s="735">
        <f t="shared" si="2"/>
        <v>0</v>
      </c>
      <c r="K23" s="735">
        <f t="shared" si="2"/>
        <v>30.509828216350126</v>
      </c>
      <c r="L23" s="735">
        <f t="shared" si="2"/>
        <v>0</v>
      </c>
      <c r="M23" s="735">
        <f t="shared" ca="1" si="2"/>
        <v>0</v>
      </c>
      <c r="N23" s="735">
        <f t="shared" si="2"/>
        <v>5124.6643705125798</v>
      </c>
      <c r="O23" s="735">
        <f t="shared" ca="1" si="2"/>
        <v>4345.0096862070322</v>
      </c>
      <c r="P23" s="735">
        <f t="shared" si="2"/>
        <v>65.660000000000011</v>
      </c>
      <c r="Q23" s="736">
        <f t="shared" si="2"/>
        <v>305.06666666666666</v>
      </c>
      <c r="R23" s="737">
        <f ca="1">R20+R15+R22</f>
        <v>346623.56369682669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4406.6864962045238</v>
      </c>
      <c r="D36" s="718">
        <f ca="1">tertiair!C20</f>
        <v>0</v>
      </c>
      <c r="E36" s="718">
        <f ca="1">tertiair!D20</f>
        <v>5328.4787676660062</v>
      </c>
      <c r="F36" s="718">
        <f>tertiair!E20</f>
        <v>83.43549506476586</v>
      </c>
      <c r="G36" s="718">
        <f ca="1">tertiair!F20</f>
        <v>1336.639554319637</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11155.240313254935</v>
      </c>
    </row>
    <row r="37" spans="1:18">
      <c r="A37" s="885" t="s">
        <v>225</v>
      </c>
      <c r="B37" s="892"/>
      <c r="C37" s="718">
        <f ca="1">huishoudens!B12</f>
        <v>5191.335927245862</v>
      </c>
      <c r="D37" s="718">
        <f ca="1">huishoudens!C12</f>
        <v>0</v>
      </c>
      <c r="E37" s="718">
        <f>huishoudens!D12</f>
        <v>15673.38756878246</v>
      </c>
      <c r="F37" s="718">
        <f>huishoudens!E12</f>
        <v>252.47168078706753</v>
      </c>
      <c r="G37" s="718">
        <f>huishoudens!F12</f>
        <v>2331.9686295818242</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23449.163806397217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357.21834325947856</v>
      </c>
      <c r="D39" s="718">
        <f ca="1">industrie!C22</f>
        <v>0</v>
      </c>
      <c r="E39" s="718">
        <f>industrie!D22</f>
        <v>364.14895792486487</v>
      </c>
      <c r="F39" s="718">
        <f>industrie!E22</f>
        <v>35.040653590349663</v>
      </c>
      <c r="G39" s="718">
        <f>industrie!F22</f>
        <v>172.56231718812344</v>
      </c>
      <c r="H39" s="718">
        <f>industrie!G22</f>
        <v>0</v>
      </c>
      <c r="I39" s="718">
        <f>industrie!H22</f>
        <v>0</v>
      </c>
      <c r="J39" s="718">
        <f>industrie!I22</f>
        <v>0</v>
      </c>
      <c r="K39" s="718">
        <f>industrie!J22</f>
        <v>1.9482976231552822</v>
      </c>
      <c r="L39" s="718">
        <f>industrie!K22</f>
        <v>0</v>
      </c>
      <c r="M39" s="718">
        <f>industrie!L22</f>
        <v>0</v>
      </c>
      <c r="N39" s="718">
        <f>industrie!M22</f>
        <v>0</v>
      </c>
      <c r="O39" s="718">
        <f>industrie!N22</f>
        <v>0</v>
      </c>
      <c r="P39" s="718">
        <f>industrie!O22</f>
        <v>0</v>
      </c>
      <c r="Q39" s="828">
        <f>industrie!P22</f>
        <v>0</v>
      </c>
      <c r="R39" s="918">
        <f ca="1">SUM(C39:Q39)</f>
        <v>930.9185695859718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9955.2407667098651</v>
      </c>
      <c r="D41" s="763">
        <f t="shared" ref="D41:R41" ca="1" si="4">SUM(D35:D40)</f>
        <v>0</v>
      </c>
      <c r="E41" s="763">
        <f t="shared" ca="1" si="4"/>
        <v>21366.015294373334</v>
      </c>
      <c r="F41" s="763">
        <f t="shared" si="4"/>
        <v>370.94782944218304</v>
      </c>
      <c r="G41" s="763">
        <f t="shared" ca="1" si="4"/>
        <v>3841.1705010895848</v>
      </c>
      <c r="H41" s="763">
        <f t="shared" si="4"/>
        <v>0</v>
      </c>
      <c r="I41" s="763">
        <f t="shared" si="4"/>
        <v>0</v>
      </c>
      <c r="J41" s="763">
        <f t="shared" si="4"/>
        <v>0</v>
      </c>
      <c r="K41" s="763">
        <f t="shared" si="4"/>
        <v>1.9482976231552822</v>
      </c>
      <c r="L41" s="763">
        <f t="shared" si="4"/>
        <v>0</v>
      </c>
      <c r="M41" s="763">
        <f t="shared" ca="1" si="4"/>
        <v>0</v>
      </c>
      <c r="N41" s="763">
        <f t="shared" si="4"/>
        <v>0</v>
      </c>
      <c r="O41" s="763">
        <f t="shared" ca="1" si="4"/>
        <v>0</v>
      </c>
      <c r="P41" s="763">
        <f t="shared" si="4"/>
        <v>0</v>
      </c>
      <c r="Q41" s="764">
        <f t="shared" si="4"/>
        <v>0</v>
      </c>
      <c r="R41" s="765">
        <f t="shared" ca="1" si="4"/>
        <v>35535.322689238121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447.1591635336984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447.1591635336984</v>
      </c>
    </row>
    <row r="45" spans="1:18" ht="15" thickBot="1">
      <c r="A45" s="888" t="s">
        <v>307</v>
      </c>
      <c r="B45" s="898"/>
      <c r="C45" s="727">
        <f ca="1">transport!B18</f>
        <v>9.542169810747863</v>
      </c>
      <c r="D45" s="727">
        <f>transport!C18</f>
        <v>0</v>
      </c>
      <c r="E45" s="727">
        <f>transport!D18</f>
        <v>19.111134122911057</v>
      </c>
      <c r="F45" s="727">
        <f>transport!E18</f>
        <v>97.671786563145275</v>
      </c>
      <c r="G45" s="727">
        <f>transport!F18</f>
        <v>0</v>
      </c>
      <c r="H45" s="727">
        <f>transport!G18</f>
        <v>36324.096603061073</v>
      </c>
      <c r="I45" s="727">
        <f>transport!H18</f>
        <v>6537.361003934182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42987.782697492054</v>
      </c>
    </row>
    <row r="46" spans="1:18" ht="15.75" thickBot="1">
      <c r="A46" s="886" t="s">
        <v>230</v>
      </c>
      <c r="B46" s="899"/>
      <c r="C46" s="763">
        <f t="shared" ref="C46:R46" ca="1" si="5">SUM(C43:C45)</f>
        <v>9.542169810747863</v>
      </c>
      <c r="D46" s="763">
        <f t="shared" ca="1" si="5"/>
        <v>0</v>
      </c>
      <c r="E46" s="763">
        <f t="shared" si="5"/>
        <v>19.111134122911057</v>
      </c>
      <c r="F46" s="763">
        <f t="shared" si="5"/>
        <v>97.671786563145275</v>
      </c>
      <c r="G46" s="763">
        <f t="shared" si="5"/>
        <v>0</v>
      </c>
      <c r="H46" s="763">
        <f t="shared" si="5"/>
        <v>36771.255766594768</v>
      </c>
      <c r="I46" s="763">
        <f t="shared" si="5"/>
        <v>6537.361003934182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43434.941861025749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37.848743649653386</v>
      </c>
      <c r="D48" s="718">
        <f ca="1">+landbouw!C12</f>
        <v>0</v>
      </c>
      <c r="E48" s="718">
        <f>+landbouw!D12</f>
        <v>791.06356092425858</v>
      </c>
      <c r="F48" s="718">
        <f>+landbouw!E12</f>
        <v>1.0167356627182278</v>
      </c>
      <c r="G48" s="718">
        <f>+landbouw!F12</f>
        <v>169.51837862910332</v>
      </c>
      <c r="H48" s="718">
        <f>+landbouw!G12</f>
        <v>0</v>
      </c>
      <c r="I48" s="718">
        <f>+landbouw!H12</f>
        <v>0</v>
      </c>
      <c r="J48" s="718">
        <f>+landbouw!I12</f>
        <v>0</v>
      </c>
      <c r="K48" s="718">
        <f>+landbouw!J12</f>
        <v>8.8521815654326623</v>
      </c>
      <c r="L48" s="718">
        <f>+landbouw!K12</f>
        <v>0</v>
      </c>
      <c r="M48" s="718">
        <f>+landbouw!L12</f>
        <v>0</v>
      </c>
      <c r="N48" s="718">
        <f>+landbouw!M12</f>
        <v>0</v>
      </c>
      <c r="O48" s="718">
        <f>+landbouw!N12</f>
        <v>0</v>
      </c>
      <c r="P48" s="718">
        <f>+landbouw!O12</f>
        <v>0</v>
      </c>
      <c r="Q48" s="719">
        <f>+landbouw!P12</f>
        <v>0</v>
      </c>
      <c r="R48" s="761">
        <f ca="1">SUM(C48:Q48)</f>
        <v>1008.2996004311664</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10002.631680170265</v>
      </c>
      <c r="D53" s="773">
        <f t="shared" ref="D53:Q53" ca="1" si="6">D41+D46+D48</f>
        <v>0</v>
      </c>
      <c r="E53" s="773">
        <f t="shared" ca="1" si="6"/>
        <v>22176.189989420505</v>
      </c>
      <c r="F53" s="773">
        <f t="shared" si="6"/>
        <v>469.63635166804659</v>
      </c>
      <c r="G53" s="773">
        <f t="shared" ca="1" si="6"/>
        <v>4010.688879718688</v>
      </c>
      <c r="H53" s="773">
        <f t="shared" si="6"/>
        <v>36771.255766594768</v>
      </c>
      <c r="I53" s="773">
        <f t="shared" si="6"/>
        <v>6537.361003934182</v>
      </c>
      <c r="J53" s="773">
        <f t="shared" si="6"/>
        <v>0</v>
      </c>
      <c r="K53" s="773">
        <f t="shared" si="6"/>
        <v>10.800479188587945</v>
      </c>
      <c r="L53" s="773">
        <f t="shared" si="6"/>
        <v>0</v>
      </c>
      <c r="M53" s="773">
        <f t="shared" ca="1" si="6"/>
        <v>0</v>
      </c>
      <c r="N53" s="773">
        <f t="shared" si="6"/>
        <v>0</v>
      </c>
      <c r="O53" s="773">
        <f t="shared" ca="1" si="6"/>
        <v>0</v>
      </c>
      <c r="P53" s="773">
        <f>P41+P46+P48</f>
        <v>0</v>
      </c>
      <c r="Q53" s="774">
        <f t="shared" si="6"/>
        <v>0</v>
      </c>
      <c r="R53" s="775">
        <f ca="1">R41+R46+R48</f>
        <v>79978.564150695049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0.21789935708484054</v>
      </c>
      <c r="D55" s="836">
        <f t="shared" ca="1" si="7"/>
        <v>0</v>
      </c>
      <c r="E55" s="836">
        <f t="shared" ca="1" si="7"/>
        <v>0.20200000000000004</v>
      </c>
      <c r="F55" s="836">
        <f t="shared" si="7"/>
        <v>0.22700000000000004</v>
      </c>
      <c r="G55" s="836">
        <f t="shared" ca="1" si="7"/>
        <v>0.26699999999999996</v>
      </c>
      <c r="H55" s="836">
        <f t="shared" si="7"/>
        <v>0.26699999999999996</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644.04736618061133</v>
      </c>
      <c r="C66" s="795">
        <f>'lokale energieproductie'!B6</f>
        <v>644.04736618061133</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644.04736618061133</v>
      </c>
      <c r="C69" s="803">
        <f>SUM(C64:C68)</f>
        <v>644.04736618061133</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23824.466472494369</v>
      </c>
      <c r="C4" s="478">
        <f>huishoudens!C8</f>
        <v>0</v>
      </c>
      <c r="D4" s="478">
        <f>huishoudens!D8</f>
        <v>77591.027568229998</v>
      </c>
      <c r="E4" s="478">
        <f>huishoudens!E8</f>
        <v>1112.2100475201212</v>
      </c>
      <c r="F4" s="478">
        <f>huishoudens!F8</f>
        <v>8733.9649048008396</v>
      </c>
      <c r="G4" s="478">
        <f>huishoudens!G8</f>
        <v>0</v>
      </c>
      <c r="H4" s="478">
        <f>huishoudens!H8</f>
        <v>0</v>
      </c>
      <c r="I4" s="478">
        <f>huishoudens!I8</f>
        <v>0</v>
      </c>
      <c r="J4" s="478">
        <f>huishoudens!J8</f>
        <v>0</v>
      </c>
      <c r="K4" s="478">
        <f>huishoudens!K8</f>
        <v>0</v>
      </c>
      <c r="L4" s="478">
        <f>huishoudens!L8</f>
        <v>0</v>
      </c>
      <c r="M4" s="478">
        <f>huishoudens!M8</f>
        <v>0</v>
      </c>
      <c r="N4" s="478">
        <f>huishoudens!N8</f>
        <v>1474.0832851389841</v>
      </c>
      <c r="O4" s="478">
        <f>huishoudens!O8</f>
        <v>65.660000000000011</v>
      </c>
      <c r="P4" s="479">
        <f>huishoudens!P8</f>
        <v>228.8</v>
      </c>
      <c r="Q4" s="480">
        <f>SUM(B4:P4)</f>
        <v>113030.21227818432</v>
      </c>
    </row>
    <row r="5" spans="1:17">
      <c r="A5" s="477" t="s">
        <v>156</v>
      </c>
      <c r="B5" s="478">
        <f ca="1">tertiair!B16</f>
        <v>18747.83971407</v>
      </c>
      <c r="C5" s="478">
        <f ca="1">tertiair!C16</f>
        <v>0</v>
      </c>
      <c r="D5" s="478">
        <f ca="1">tertiair!D16</f>
        <v>26378.607760722804</v>
      </c>
      <c r="E5" s="478">
        <f>tertiair!E16</f>
        <v>367.55724698134736</v>
      </c>
      <c r="F5" s="478">
        <f ca="1">tertiair!F16</f>
        <v>5006.1406528825355</v>
      </c>
      <c r="G5" s="478">
        <f>tertiair!G16</f>
        <v>0</v>
      </c>
      <c r="H5" s="478">
        <f>tertiair!H16</f>
        <v>0</v>
      </c>
      <c r="I5" s="478">
        <f>tertiair!I16</f>
        <v>0</v>
      </c>
      <c r="J5" s="478">
        <f>tertiair!J16</f>
        <v>0</v>
      </c>
      <c r="K5" s="478">
        <f>tertiair!K16</f>
        <v>0</v>
      </c>
      <c r="L5" s="478">
        <f ca="1">tertiair!L16</f>
        <v>0</v>
      </c>
      <c r="M5" s="478">
        <f>tertiair!M16</f>
        <v>0</v>
      </c>
      <c r="N5" s="478">
        <f ca="1">tertiair!N16</f>
        <v>2340.3842005502429</v>
      </c>
      <c r="O5" s="478">
        <f>tertiair!O16</f>
        <v>0</v>
      </c>
      <c r="P5" s="479">
        <f>tertiair!P16</f>
        <v>76.266666666666666</v>
      </c>
      <c r="Q5" s="477">
        <f t="shared" ref="Q5:Q13" ca="1" si="0">SUM(B5:P5)</f>
        <v>52916.796241873599</v>
      </c>
    </row>
    <row r="6" spans="1:17">
      <c r="A6" s="477" t="s">
        <v>194</v>
      </c>
      <c r="B6" s="478">
        <f>'openbare verlichting'!B8</f>
        <v>1475.655</v>
      </c>
      <c r="C6" s="478"/>
      <c r="D6" s="478"/>
      <c r="E6" s="478"/>
      <c r="F6" s="478"/>
      <c r="G6" s="478"/>
      <c r="H6" s="478"/>
      <c r="I6" s="478"/>
      <c r="J6" s="478"/>
      <c r="K6" s="478"/>
      <c r="L6" s="478"/>
      <c r="M6" s="478"/>
      <c r="N6" s="478"/>
      <c r="O6" s="478"/>
      <c r="P6" s="479"/>
      <c r="Q6" s="477">
        <f t="shared" si="0"/>
        <v>1475.655</v>
      </c>
    </row>
    <row r="7" spans="1:17">
      <c r="A7" s="477" t="s">
        <v>112</v>
      </c>
      <c r="B7" s="478">
        <f>landbouw!B8</f>
        <v>173.698280509</v>
      </c>
      <c r="C7" s="478">
        <f>landbouw!C8</f>
        <v>0</v>
      </c>
      <c r="D7" s="478">
        <f>landbouw!D8</f>
        <v>3916.1562421992999</v>
      </c>
      <c r="E7" s="478">
        <f>landbouw!E8</f>
        <v>4.4790117300362455</v>
      </c>
      <c r="F7" s="478">
        <f>landbouw!F8</f>
        <v>634.9002944910236</v>
      </c>
      <c r="G7" s="478">
        <f>landbouw!G8</f>
        <v>0</v>
      </c>
      <c r="H7" s="478">
        <f>landbouw!H8</f>
        <v>0</v>
      </c>
      <c r="I7" s="478">
        <f>landbouw!I8</f>
        <v>0</v>
      </c>
      <c r="J7" s="478">
        <f>landbouw!J8</f>
        <v>25.00616261421656</v>
      </c>
      <c r="K7" s="478">
        <f>landbouw!K8</f>
        <v>0</v>
      </c>
      <c r="L7" s="478">
        <f>landbouw!L8</f>
        <v>0</v>
      </c>
      <c r="M7" s="478">
        <f>landbouw!M8</f>
        <v>0</v>
      </c>
      <c r="N7" s="478">
        <f>landbouw!N8</f>
        <v>0</v>
      </c>
      <c r="O7" s="478">
        <f>landbouw!O8</f>
        <v>0</v>
      </c>
      <c r="P7" s="479">
        <f>landbouw!P8</f>
        <v>0</v>
      </c>
      <c r="Q7" s="477">
        <f t="shared" si="0"/>
        <v>4754.2399915435772</v>
      </c>
    </row>
    <row r="8" spans="1:17">
      <c r="A8" s="477" t="s">
        <v>638</v>
      </c>
      <c r="B8" s="478">
        <f>industrie!B18</f>
        <v>1639.3730942509999</v>
      </c>
      <c r="C8" s="478">
        <f>industrie!C18</f>
        <v>0</v>
      </c>
      <c r="D8" s="478">
        <f>industrie!D18</f>
        <v>1802.7176134894301</v>
      </c>
      <c r="E8" s="478">
        <f>industrie!E18</f>
        <v>154.36411273281789</v>
      </c>
      <c r="F8" s="478">
        <f>industrie!F18</f>
        <v>646.30081343866459</v>
      </c>
      <c r="G8" s="478">
        <f>industrie!G18</f>
        <v>0</v>
      </c>
      <c r="H8" s="478">
        <f>industrie!H18</f>
        <v>0</v>
      </c>
      <c r="I8" s="478">
        <f>industrie!I18</f>
        <v>0</v>
      </c>
      <c r="J8" s="478">
        <f>industrie!J18</f>
        <v>5.5036656021335659</v>
      </c>
      <c r="K8" s="478">
        <f>industrie!K18</f>
        <v>0</v>
      </c>
      <c r="L8" s="478">
        <f>industrie!L18</f>
        <v>0</v>
      </c>
      <c r="M8" s="478">
        <f>industrie!M18</f>
        <v>0</v>
      </c>
      <c r="N8" s="478">
        <f>industrie!N18</f>
        <v>530.54220051780533</v>
      </c>
      <c r="O8" s="478">
        <f>industrie!O18</f>
        <v>0</v>
      </c>
      <c r="P8" s="479">
        <f>industrie!P18</f>
        <v>0</v>
      </c>
      <c r="Q8" s="477">
        <f t="shared" si="0"/>
        <v>4778.8015000318519</v>
      </c>
    </row>
    <row r="9" spans="1:17" s="483" customFormat="1">
      <c r="A9" s="481" t="s">
        <v>564</v>
      </c>
      <c r="B9" s="482">
        <f>transport!B14</f>
        <v>43.791638205855541</v>
      </c>
      <c r="C9" s="482">
        <f>transport!C14</f>
        <v>0</v>
      </c>
      <c r="D9" s="482">
        <f>transport!D14</f>
        <v>94.60957486589632</v>
      </c>
      <c r="E9" s="482">
        <f>transport!E14</f>
        <v>430.2721875028426</v>
      </c>
      <c r="F9" s="482">
        <f>transport!F14</f>
        <v>0</v>
      </c>
      <c r="G9" s="482">
        <f>transport!G14</f>
        <v>136045.30562944221</v>
      </c>
      <c r="H9" s="482">
        <f>transport!H14</f>
        <v>26254.461863189485</v>
      </c>
      <c r="I9" s="482">
        <f>transport!I14</f>
        <v>0</v>
      </c>
      <c r="J9" s="482">
        <f>transport!J14</f>
        <v>0</v>
      </c>
      <c r="K9" s="482">
        <f>transport!K14</f>
        <v>0</v>
      </c>
      <c r="L9" s="482">
        <f>transport!L14</f>
        <v>0</v>
      </c>
      <c r="M9" s="482">
        <f>transport!M14</f>
        <v>5072.7172661067962</v>
      </c>
      <c r="N9" s="482">
        <f>transport!N14</f>
        <v>0</v>
      </c>
      <c r="O9" s="482">
        <f>transport!O14</f>
        <v>0</v>
      </c>
      <c r="P9" s="482">
        <f>transport!P14</f>
        <v>0</v>
      </c>
      <c r="Q9" s="481">
        <f>SUM(B9:P9)</f>
        <v>167941.15815931308</v>
      </c>
    </row>
    <row r="10" spans="1:17">
      <c r="A10" s="477" t="s">
        <v>554</v>
      </c>
      <c r="B10" s="478">
        <f>transport!B54</f>
        <v>0</v>
      </c>
      <c r="C10" s="478">
        <f>transport!C54</f>
        <v>0</v>
      </c>
      <c r="D10" s="478">
        <f>transport!D54</f>
        <v>0</v>
      </c>
      <c r="E10" s="478">
        <f>transport!E54</f>
        <v>0</v>
      </c>
      <c r="F10" s="478">
        <f>transport!F54</f>
        <v>0</v>
      </c>
      <c r="G10" s="478">
        <f>transport!G54</f>
        <v>1674.7534214745258</v>
      </c>
      <c r="H10" s="478">
        <f>transport!H54</f>
        <v>0</v>
      </c>
      <c r="I10" s="478">
        <f>transport!I54</f>
        <v>0</v>
      </c>
      <c r="J10" s="478">
        <f>transport!J54</f>
        <v>0</v>
      </c>
      <c r="K10" s="478">
        <f>transport!K54</f>
        <v>0</v>
      </c>
      <c r="L10" s="478">
        <f>transport!L54</f>
        <v>0</v>
      </c>
      <c r="M10" s="478">
        <f>transport!M54</f>
        <v>51.947104405783222</v>
      </c>
      <c r="N10" s="478">
        <f>transport!N54</f>
        <v>0</v>
      </c>
      <c r="O10" s="478">
        <f>transport!O54</f>
        <v>0</v>
      </c>
      <c r="P10" s="479">
        <f>transport!P54</f>
        <v>0</v>
      </c>
      <c r="Q10" s="477">
        <f t="shared" si="0"/>
        <v>1726.700525880309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45904.824199530223</v>
      </c>
      <c r="C14" s="488">
        <f t="shared" ref="C14:Q14" ca="1" si="1">SUM(C4:C13)</f>
        <v>0</v>
      </c>
      <c r="D14" s="488">
        <f t="shared" ca="1" si="1"/>
        <v>109783.11875950743</v>
      </c>
      <c r="E14" s="488">
        <f t="shared" si="1"/>
        <v>2068.8826064671653</v>
      </c>
      <c r="F14" s="488">
        <f t="shared" ca="1" si="1"/>
        <v>15021.306665613065</v>
      </c>
      <c r="G14" s="488">
        <f t="shared" si="1"/>
        <v>137720.05905091675</v>
      </c>
      <c r="H14" s="488">
        <f t="shared" si="1"/>
        <v>26254.461863189485</v>
      </c>
      <c r="I14" s="488">
        <f t="shared" si="1"/>
        <v>0</v>
      </c>
      <c r="J14" s="488">
        <f t="shared" si="1"/>
        <v>30.509828216350126</v>
      </c>
      <c r="K14" s="488">
        <f t="shared" si="1"/>
        <v>0</v>
      </c>
      <c r="L14" s="488">
        <f t="shared" ca="1" si="1"/>
        <v>0</v>
      </c>
      <c r="M14" s="488">
        <f t="shared" si="1"/>
        <v>5124.6643705125798</v>
      </c>
      <c r="N14" s="488">
        <f t="shared" ca="1" si="1"/>
        <v>4345.0096862070322</v>
      </c>
      <c r="O14" s="488">
        <f t="shared" si="1"/>
        <v>65.660000000000011</v>
      </c>
      <c r="P14" s="489">
        <f t="shared" si="1"/>
        <v>305.06666666666666</v>
      </c>
      <c r="Q14" s="489">
        <f t="shared" ca="1" si="1"/>
        <v>346623.56369682675</v>
      </c>
    </row>
    <row r="16" spans="1:17">
      <c r="A16" s="491" t="s">
        <v>559</v>
      </c>
      <c r="B16" s="841">
        <f ca="1">huishoudens!B10</f>
        <v>0.21789935708484054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5191.335927245862</v>
      </c>
      <c r="C21" s="478">
        <f t="shared" ref="C21:C30" ca="1" si="3">C4*$C$16</f>
        <v>0</v>
      </c>
      <c r="D21" s="478">
        <f t="shared" ref="D21:D30" si="4">D4*$D$16</f>
        <v>15673.38756878246</v>
      </c>
      <c r="E21" s="478">
        <f t="shared" ref="E21:E30" si="5">E4*$E$16</f>
        <v>252.47168078706753</v>
      </c>
      <c r="F21" s="478">
        <f t="shared" ref="F21:F30" si="6">F4*$F$16</f>
        <v>2331.9686295818242</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23449.163806397217</v>
      </c>
    </row>
    <row r="22" spans="1:17">
      <c r="A22" s="477" t="s">
        <v>156</v>
      </c>
      <c r="B22" s="478">
        <f t="shared" ca="1" si="2"/>
        <v>4085.1422204254936</v>
      </c>
      <c r="C22" s="478">
        <f t="shared" ca="1" si="3"/>
        <v>0</v>
      </c>
      <c r="D22" s="478">
        <f t="shared" ca="1" si="4"/>
        <v>5328.4787676660062</v>
      </c>
      <c r="E22" s="478">
        <f t="shared" si="5"/>
        <v>83.43549506476586</v>
      </c>
      <c r="F22" s="478">
        <f t="shared" ca="1" si="6"/>
        <v>1336.639554319637</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10833.696037475904</v>
      </c>
    </row>
    <row r="23" spans="1:17">
      <c r="A23" s="477" t="s">
        <v>194</v>
      </c>
      <c r="B23" s="478">
        <f t="shared" ca="1" si="2"/>
        <v>321.54427577903039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321.54427577903039</v>
      </c>
    </row>
    <row r="24" spans="1:17">
      <c r="A24" s="477" t="s">
        <v>112</v>
      </c>
      <c r="B24" s="478">
        <f t="shared" ca="1" si="2"/>
        <v>37.848743649653386</v>
      </c>
      <c r="C24" s="478">
        <f t="shared" ca="1" si="3"/>
        <v>0</v>
      </c>
      <c r="D24" s="478">
        <f t="shared" si="4"/>
        <v>791.06356092425858</v>
      </c>
      <c r="E24" s="478">
        <f t="shared" si="5"/>
        <v>1.0167356627182278</v>
      </c>
      <c r="F24" s="478">
        <f t="shared" si="6"/>
        <v>169.51837862910332</v>
      </c>
      <c r="G24" s="478">
        <f t="shared" si="7"/>
        <v>0</v>
      </c>
      <c r="H24" s="478">
        <f t="shared" si="8"/>
        <v>0</v>
      </c>
      <c r="I24" s="478">
        <f t="shared" si="9"/>
        <v>0</v>
      </c>
      <c r="J24" s="478">
        <f t="shared" si="10"/>
        <v>8.8521815654326623</v>
      </c>
      <c r="K24" s="478">
        <f t="shared" si="11"/>
        <v>0</v>
      </c>
      <c r="L24" s="478">
        <f t="shared" si="12"/>
        <v>0</v>
      </c>
      <c r="M24" s="478">
        <f t="shared" si="13"/>
        <v>0</v>
      </c>
      <c r="N24" s="478">
        <f t="shared" si="14"/>
        <v>0</v>
      </c>
      <c r="O24" s="478">
        <f t="shared" si="15"/>
        <v>0</v>
      </c>
      <c r="P24" s="479">
        <f t="shared" si="16"/>
        <v>0</v>
      </c>
      <c r="Q24" s="477">
        <f t="shared" ca="1" si="17"/>
        <v>1008.2996004311664</v>
      </c>
    </row>
    <row r="25" spans="1:17">
      <c r="A25" s="477" t="s">
        <v>638</v>
      </c>
      <c r="B25" s="478">
        <f t="shared" ca="1" si="2"/>
        <v>357.21834325947856</v>
      </c>
      <c r="C25" s="478">
        <f t="shared" ca="1" si="3"/>
        <v>0</v>
      </c>
      <c r="D25" s="478">
        <f t="shared" si="4"/>
        <v>364.14895792486487</v>
      </c>
      <c r="E25" s="478">
        <f t="shared" si="5"/>
        <v>35.040653590349663</v>
      </c>
      <c r="F25" s="478">
        <f t="shared" si="6"/>
        <v>172.56231718812344</v>
      </c>
      <c r="G25" s="478">
        <f t="shared" si="7"/>
        <v>0</v>
      </c>
      <c r="H25" s="478">
        <f t="shared" si="8"/>
        <v>0</v>
      </c>
      <c r="I25" s="478">
        <f t="shared" si="9"/>
        <v>0</v>
      </c>
      <c r="J25" s="478">
        <f t="shared" si="10"/>
        <v>1.9482976231552822</v>
      </c>
      <c r="K25" s="478">
        <f t="shared" si="11"/>
        <v>0</v>
      </c>
      <c r="L25" s="478">
        <f t="shared" si="12"/>
        <v>0</v>
      </c>
      <c r="M25" s="478">
        <f t="shared" si="13"/>
        <v>0</v>
      </c>
      <c r="N25" s="478">
        <f t="shared" si="14"/>
        <v>0</v>
      </c>
      <c r="O25" s="478">
        <f t="shared" si="15"/>
        <v>0</v>
      </c>
      <c r="P25" s="479">
        <f t="shared" si="16"/>
        <v>0</v>
      </c>
      <c r="Q25" s="477">
        <f t="shared" ca="1" si="17"/>
        <v>930.9185695859718</v>
      </c>
    </row>
    <row r="26" spans="1:17" s="483" customFormat="1">
      <c r="A26" s="481" t="s">
        <v>564</v>
      </c>
      <c r="B26" s="835">
        <f t="shared" ca="1" si="2"/>
        <v>9.542169810747863</v>
      </c>
      <c r="C26" s="482">
        <f t="shared" ca="1" si="3"/>
        <v>0</v>
      </c>
      <c r="D26" s="482">
        <f t="shared" si="4"/>
        <v>19.111134122911057</v>
      </c>
      <c r="E26" s="482">
        <f t="shared" si="5"/>
        <v>97.671786563145275</v>
      </c>
      <c r="F26" s="482">
        <f t="shared" si="6"/>
        <v>0</v>
      </c>
      <c r="G26" s="482">
        <f t="shared" si="7"/>
        <v>36324.096603061073</v>
      </c>
      <c r="H26" s="482">
        <f t="shared" si="8"/>
        <v>6537.361003934182</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42987.782697492054</v>
      </c>
    </row>
    <row r="27" spans="1:17">
      <c r="A27" s="477" t="s">
        <v>554</v>
      </c>
      <c r="B27" s="478">
        <f t="shared" ca="1" si="2"/>
        <v>0</v>
      </c>
      <c r="C27" s="478">
        <f t="shared" ca="1" si="3"/>
        <v>0</v>
      </c>
      <c r="D27" s="478">
        <f t="shared" si="4"/>
        <v>0</v>
      </c>
      <c r="E27" s="478">
        <f t="shared" si="5"/>
        <v>0</v>
      </c>
      <c r="F27" s="478">
        <f t="shared" si="6"/>
        <v>0</v>
      </c>
      <c r="G27" s="478">
        <f t="shared" si="7"/>
        <v>447.1591635336984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447.1591635336984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10002.631680170265</v>
      </c>
      <c r="C31" s="488">
        <f t="shared" ca="1" si="18"/>
        <v>0</v>
      </c>
      <c r="D31" s="488">
        <f t="shared" ca="1" si="18"/>
        <v>22176.189989420505</v>
      </c>
      <c r="E31" s="488">
        <f t="shared" si="18"/>
        <v>469.63635166804659</v>
      </c>
      <c r="F31" s="488">
        <f t="shared" ca="1" si="18"/>
        <v>4010.688879718688</v>
      </c>
      <c r="G31" s="488">
        <f t="shared" si="18"/>
        <v>36771.255766594768</v>
      </c>
      <c r="H31" s="488">
        <f t="shared" si="18"/>
        <v>6537.361003934182</v>
      </c>
      <c r="I31" s="488">
        <f t="shared" si="18"/>
        <v>0</v>
      </c>
      <c r="J31" s="488">
        <f t="shared" si="18"/>
        <v>10.800479188587945</v>
      </c>
      <c r="K31" s="488">
        <f t="shared" si="18"/>
        <v>0</v>
      </c>
      <c r="L31" s="488">
        <f t="shared" ca="1" si="18"/>
        <v>0</v>
      </c>
      <c r="M31" s="488">
        <f t="shared" si="18"/>
        <v>0</v>
      </c>
      <c r="N31" s="488">
        <f t="shared" ca="1" si="18"/>
        <v>0</v>
      </c>
      <c r="O31" s="488">
        <f t="shared" si="18"/>
        <v>0</v>
      </c>
      <c r="P31" s="489">
        <f t="shared" si="18"/>
        <v>0</v>
      </c>
      <c r="Q31" s="489">
        <f t="shared" ca="1" si="18"/>
        <v>79978.564150695034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0.21789935708484054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0.21789935708484054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0.21789935708484054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2018-06-27T09:41:49Z</dcterms:modified>
</cp:coreProperties>
</file>