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E7"/>
  <c r="E24" s="1"/>
  <c r="E12" i="17"/>
  <c r="F48" i="14" s="1"/>
  <c r="P41"/>
  <c r="P53" s="1"/>
  <c r="D8" i="4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J67" i="14"/>
  <c r="I9" i="18"/>
  <c r="G58" i="22"/>
  <c r="H44" i="14" s="1"/>
  <c r="G10" i="48"/>
  <c r="G9"/>
  <c r="R17" i="14"/>
  <c r="Q13" i="48"/>
  <c r="I19" i="14"/>
  <c r="I20" s="1"/>
  <c r="I23" s="1"/>
  <c r="M18" i="22"/>
  <c r="N45" i="14" s="1"/>
  <c r="M9" i="48"/>
  <c r="N19" i="14"/>
  <c r="N20" s="1"/>
  <c r="N23" s="1"/>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E15" i="14"/>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 i="48" l="1"/>
  <c r="J25" s="1"/>
  <c r="J31" s="1"/>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F25"/>
  <c r="F31" s="1"/>
  <c r="F14"/>
  <c r="J14" l="1"/>
  <c r="Q8"/>
  <c r="Q14" s="1"/>
  <c r="R13" i="14"/>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<sst xmlns="http://schemas.openxmlformats.org/spreadsheetml/2006/main" count="1924" uniqueCount="818">
  <si>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</si>
  <si>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</si>
  <si>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</si>
  <si>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</si>
  <si>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</si>
  <si>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</si>
  <si>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</si>
  <si>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</si>
  <si>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</si>
  <si>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</si>
  <si>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</si>
  <si>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</si>
  <si>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</si>
  <si>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</si>
  <si>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</si>
  <si>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</si>
  <si>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</si>
  <si>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</si>
  <si>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</si>
  <si>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</si>
  <si>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</si>
  <si>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</si>
  <si>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</si>
  <si>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</si>
  <si>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</si>
  <si>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</si>
  <si>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</si>
  <si>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</si>
  <si>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</si>
  <si>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</si>
  <si>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</si>
  <si>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</si>
  <si>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</si>
  <si>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</si>
  <si>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</si>
  <si>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</si>
  <si>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</si>
  <si>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</si>
  <si>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</si>
  <si>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</si>
  <si>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</si>
  <si>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</si>
  <si>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</si>
  <si>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</si>
  <si>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</si>
  <si>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</si>
  <si>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</si>
  <si>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</si>
  <si>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</si>
  <si>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</si>
  <si>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</si>
  <si>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</si>
  <si>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</si>
  <si>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</si>
  <si>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</si>
  <si>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</si>
  <si>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</si>
  <si>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</si>
  <si>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</si>
  <si>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</si>
  <si>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</si>
  <si>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</si>
  <si>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</si>
  <si>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</si>
  <si>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</si>
  <si>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</si>
  <si>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</si>
  <si>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</si>
  <si>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</si>
  <si>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</si>
  <si>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</si>
  <si>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</si>
  <si>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</si>
  <si>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</si>
  <si>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</si>
  <si>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</si>
  <si>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</si>
  <si>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</si>
  <si>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</si>
  <si>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</si>
  <si>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</si>
  <si>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</si>
  <si>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</si>
  <si>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</si>
  <si>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</si>
  <si>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</si>
  <si>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</si>
  <si>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</si>
  <si>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</si>
  <si>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</si>
  <si>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</si>
  <si>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</si>
  <si>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</si>
  <si>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</si>
  <si>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</si>
  <si>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</si>
  <si>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</si>
  <si>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</si>
  <si>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</si>
  <si>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</si>
  <si>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</si>
  <si>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</si>
  <si>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</si>
  <si>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</si>
  <si>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</si>
  <si>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</si>
  <si>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</si>
  <si>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</si>
  <si>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</si>
  <si>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</si>
  <si>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</si>
  <si>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</si>
  <si>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</si>
  <si>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</si>
  <si>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</si>
  <si>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</si>
  <si>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</si>
  <si>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</si>
  <si>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</si>
  <si>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</si>
  <si>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</si>
  <si>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</si>
  <si>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</si>
  <si>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</si>
  <si>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</si>
  <si>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</si>
  <si>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</si>
  <si>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</si>
  <si>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</si>
  <si>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</si>
  <si>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</si>
  <si>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</si>
  <si>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</si>
  <si>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</si>
  <si>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</si>
  <si>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</si>
  <si>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</si>
  <si>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</si>
  <si>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</si>
  <si>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</si>
  <si>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</si>
  <si>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</si>
  <si>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</si>
  <si>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</si>
  <si>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</si>
  <si>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</si>
  <si>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</si>
  <si>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</si>
  <si>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</si>
  <si>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</si>
  <si>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</si>
  <si>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</si>
  <si>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</si>
  <si>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</si>
  <si>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</si>
  <si>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</si>
  <si>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</si>
  <si>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</si>
  <si>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</si>
  <si>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</si>
  <si>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</si>
  <si>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</si>
  <si>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</si>
  <si>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</si>
  <si>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</si>
  <si>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</si>
  <si>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</si>
  <si>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</si>
  <si>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</si>
  <si>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</si>
  <si>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</si>
  <si>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</si>
  <si>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</si>
  <si>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</si>
  <si>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</si>
  <si>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</si>
  <si>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</si>
  <si>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</si>
  <si>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</si>
  <si>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</si>
  <si>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</si>
  <si>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</si>
  <si>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</si>
  <si>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</si>
  <si>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</si>
  <si>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</si>
  <si>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</si>
  <si>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</si>
  <si>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</si>
  <si>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</si>
  <si>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</si>
  <si>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</si>
  <si>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</si>
  <si>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</si>
  <si>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</si>
  <si>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</si>
  <si>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</si>
  <si>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</si>
  <si>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</si>
  <si>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</si>
  <si>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</si>
  <si>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</si>
  <si>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</si>
  <si>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</si>
  <si>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</si>
  <si>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</si>
  <si>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</si>
  <si>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</si>
  <si>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</si>
  <si>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</si>
  <si>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</si>
  <si>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</si>
  <si>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</si>
  <si>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</si>
  <si>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</si>
  <si>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</si>
  <si>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</si>
  <si>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</si>
  <si>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</si>
  <si>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</si>
  <si>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</si>
  <si>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</si>
  <si>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</si>
  <si>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</si>
  <si>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</si>
  <si>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</si>
  <si>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</si>
  <si>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</si>
  <si>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</si>
  <si>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</si>
  <si>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</si>
  <si>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</si>
  <si>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</si>
  <si>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</si>
  <si>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</si>
  <si>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</si>
  <si>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</si>
  <si>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</si>
  <si>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</si>
  <si>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</si>
  <si>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</si>
  <si>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</si>
  <si>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</si>
  <si>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</si>
  <si>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</si>
  <si>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</si>
  <si>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</si>
  <si>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</si>
  <si>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</si>
  <si>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</si>
  <si>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</si>
  <si>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</si>
  <si>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</si>
  <si>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</si>
  <si>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</si>
  <si>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</si>
  <si>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</si>
  <si>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</si>
  <si>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</si>
  <si>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</si>
  <si>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</si>
  <si>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</si>
  <si>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</si>
  <si>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</si>
  <si>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</si>
  <si>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</si>
  <si>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</si>
  <si>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</si>
  <si>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</si>
  <si>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</si>
  <si>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</si>
  <si>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</si>
  <si>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</si>
  <si>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</si>
  <si>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</si>
  <si>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</si>
  <si>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</si>
  <si>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</si>
  <si>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</si>
  <si>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</si>
  <si>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</si>
  <si>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</si>
  <si>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</si>
  <si>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</si>
  <si>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</si>
  <si>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</si>
  <si>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</si>
  <si>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</si>
  <si>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</si>
  <si>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</si>
  <si>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</si>
  <si>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</si>
  <si>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</si>
  <si>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</si>
  <si>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</si>
  <si>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</si>
  <si>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</si>
  <si>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</si>
  <si>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</si>
  <si>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</si>
  <si>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</si>
  <si>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</si>
  <si>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</si>
  <si>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</si>
  <si>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</si>
  <si>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</si>
  <si>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</si>
  <si>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</si>
  <si>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</si>
  <si>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</si>
  <si>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</si>
  <si>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</si>
  <si>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</si>
  <si>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</si>
  <si>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</si>
  <si>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</si>
  <si>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</si>
  <si>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</si>
  <si>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</si>
  <si>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</si>
  <si>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</si>
  <si>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</si>
  <si>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</si>
  <si>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</si>
  <si>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</si>
  <si>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</si>
  <si>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</si>
  <si>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</si>
  <si>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</si>
  <si>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</si>
  <si>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</si>
  <si>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</si>
  <si>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</si>
  <si>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</si>
  <si>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</si>
  <si>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</si>
  <si>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</si>
  <si>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</si>
  <si>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</si>
  <si>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</si>
  <si>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</si>
  <si>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</si>
  <si>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</si>
  <si>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</si>
  <si>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</si>
  <si>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</si>
  <si>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</si>
  <si>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</si>
  <si>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</si>
  <si>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</si>
  <si>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</si>
  <si>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</si>
  <si>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</si>
  <si>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</si>
  <si>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</si>
  <si>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</si>
  <si>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</si>
  <si>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</si>
  <si>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</si>
  <si>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</si>
  <si>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</si>
  <si>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</si>
  <si>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</si>
  <si>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</si>
  <si>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</si>
  <si>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</si>
  <si>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</si>
  <si>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</si>
  <si>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</si>
  <si>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</si>
  <si>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</si>
  <si>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</si>
  <si>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</si>
  <si>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</si>
  <si>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</si>
  <si>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</si>
  <si>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</si>
  <si>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</si>
  <si>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</si>
  <si>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</si>
  <si>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</si>
  <si>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</si>
  <si>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</si>
  <si>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</si>
  <si>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</si>
  <si>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</si>
  <si>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</si>
  <si>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</si>
  <si>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</si>
  <si>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</si>
  <si>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</si>
  <si>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</si>
  <si>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</si>
  <si>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</si>
  <si>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</si>
  <si>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</si>
  <si>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</si>
  <si>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</si>
  <si>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</si>
  <si>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</si>
  <si>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</si>
  <si>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</si>
  <si>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</si>
  <si>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</si>
  <si>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</si>
  <si>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</si>
  <si>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</si>
  <si>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</si>
  <si>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</si>
  <si>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</si>
  <si>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</si>
  <si>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</si>
  <si>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</si>
  <si>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</si>
  <si>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</si>
  <si>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</si>
  <si>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</si>
  <si>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</si>
  <si>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</si>
  <si>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</si>
  <si>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</si>
  <si>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</si>
  <si>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</si>
  <si>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</si>
  <si>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</si>
  <si>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</si>
  <si>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</si>
  <si>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</si>
  <si>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</si>
  <si>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</si>
  <si>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</si>
  <si>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</si>
  <si>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</si>
  <si>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</si>
  <si>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</si>
  <si>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</si>
  <si>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</si>
  <si>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</si>
  <si>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</si>
  <si>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</si>
  <si>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</si>
  <si>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</si>
  <si>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</si>
  <si>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</si>
  <si>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</si>
  <si>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</si>
  <si>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</si>
  <si>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</si>
  <si>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</si>
  <si>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</si>
  <si>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</si>
  <si>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</si>
  <si>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</si>
  <si>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</si>
  <si>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</si>
  <si>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</si>
  <si>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</si>
  <si>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</si>
  <si>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</si>
  <si>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</si>
  <si>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</si>
  <si>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</si>
  <si>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</si>
  <si>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</si>
  <si>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</si>
  <si>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</si>
  <si>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</si>
  <si>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</si>
  <si>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</si>
  <si>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</si>
  <si>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</si>
  <si>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</si>
  <si>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</si>
  <si>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</si>
  <si>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</si>
  <si>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</si>
  <si>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</si>
  <si>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</si>
  <si>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</si>
  <si>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</si>
  <si>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</si>
  <si>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</si>
  <si>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</si>
  <si>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</si>
  <si>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</si>
  <si>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</si>
  <si>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</si>
  <si>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</si>
  <si>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</si>
  <si>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</si>
  <si>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</si>
  <si>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</si>
  <si>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</si>
  <si>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</si>
  <si>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</si>
  <si>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</si>
  <si>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</si>
  <si>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</si>
  <si>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</si>
  <si>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</si>
  <si>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</si>
  <si>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</si>
  <si>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</si>
  <si>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</si>
  <si>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</si>
  <si>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</si>
  <si>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</si>
  <si>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</si>
  <si>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</si>
  <si>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</si>
  <si>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</si>
  <si>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</si>
  <si>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</si>
  <si>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</si>
  <si>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</si>
  <si>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</si>
  <si>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</si>
  <si>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</si>
  <si>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</si>
  <si>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</si>
  <si>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</si>
  <si>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</si>
  <si>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</si>
  <si>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</si>
  <si>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</si>
  <si>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</si>
  <si>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</si>
  <si>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</si>
  <si>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</si>
  <si>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</si>
  <si>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</si>
  <si>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</si>
  <si>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</si>
  <si>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</si>
  <si>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</si>
  <si>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</si>
  <si>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</si>
  <si>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</si>
  <si>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</si>
  <si>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</si>
  <si>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</si>
  <si>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</si>
  <si>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</si>
  <si>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</si>
  <si>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</si>
  <si>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</si>
  <si>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</si>
  <si>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</si>
  <si>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</si>
  <si>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</si>
  <si>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</si>
  <si>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</si>
  <si>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</si>
  <si>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</si>
  <si>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</si>
  <si>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</si>
  <si>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</si>
  <si>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</si>
  <si>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</si>
  <si>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</si>
  <si>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</si>
  <si>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</si>
  <si>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</si>
  <si>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</si>
  <si>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</si>
  <si>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</si>
  <si>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</si>
  <si>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</si>
  <si>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</si>
  <si>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</si>
  <si>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</si>
  <si>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</si>
  <si>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</si>
  <si>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</si>
  <si>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</si>
  <si>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</si>
  <si>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</si>
  <si>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</si>
  <si>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</si>
  <si>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</si>
  <si>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</si>
  <si>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</si>
  <si>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</si>
  <si>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</si>
  <si>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</si>
  <si>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</si>
  <si>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</si>
  <si>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</si>
  <si>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</si>
  <si>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</si>
  <si>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</si>
  <si>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</si>
  <si>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</si>
  <si>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</si>
  <si>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</si>
  <si>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</si>
  <si>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</si>
  <si>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</si>
  <si>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</si>
  <si>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</si>
  <si>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</si>
  <si>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</si>
  <si>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</si>
  <si>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</si>
  <si>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</si>
  <si>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</si>
  <si>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</si>
  <si>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</si>
  <si>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</si>
  <si>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</si>
  <si>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</si>
  <si>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</si>
  <si>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</si>
  <si>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</si>
  <si>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</si>
  <si>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</si>
  <si>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</si>
  <si>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</si>
  <si>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</si>
  <si>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</si>
  <si>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</si>
  <si>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</si>
  <si>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</si>
  <si>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</si>
  <si>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</si>
  <si>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</si>
  <si>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</si>
  <si>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</si>
  <si>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</si>
  <si>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</si>
  <si>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</si>
  <si>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</si>
  <si>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</si>
  <si>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</si>
  <si>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</si>
  <si>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</si>
  <si>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</si>
  <si>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</si>
  <si>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</si>
  <si>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</si>
  <si>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</si>
  <si>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</si>
  <si>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</si>
  <si>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</si>
  <si>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</si>
  <si>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</si>
  <si>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</si>
  <si>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</si>
  <si>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</si>
  <si>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</si>
  <si>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</si>
  <si>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</si>
  <si>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</si>
  <si>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</si>
  <si>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</si>
  <si>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</si>
  <si>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</si>
  <si>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</si>
  <si>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</si>
  <si>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</si>
  <si>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</si>
  <si>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</si>
  <si>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</si>
  <si>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</si>
  <si>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</si>
  <si>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</si>
  <si>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</si>
  <si>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</si>
  <si>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</si>
  <si>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</si>
  <si>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</si>
  <si>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</si>
  <si>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</si>
  <si>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</si>
  <si>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</si>
  <si>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</si>
  <si>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</si>
  <si>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</si>
  <si>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</si>
  <si>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</si>
  <si>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</si>
  <si>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</si>
  <si>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</si>
  <si>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</si>
  <si>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</si>
  <si>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</si>
  <si>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</si>
  <si>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</si>
  <si>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</si>
  <si>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</si>
  <si>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</si>
  <si>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</si>
  <si>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</si>
  <si>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</si>
  <si>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</si>
  <si>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</si>
  <si>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</si>
  <si>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</si>
  <si>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</si>
  <si>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</si>
  <si>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</si>
  <si>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</si>
  <si>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</si>
  <si>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</si>
  <si>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</si>
  <si>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</si>
  <si>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</si>
  <si>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</si>
  <si>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</si>
  <si>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</si>
  <si>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</si>
  <si>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</si>
  <si>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</si>
  <si>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</si>
  <si>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</si>
  <si>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</si>
  <si>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</si>
  <si>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</si>
  <si>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</si>
  <si>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</si>
  <si>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</si>
  <si>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</si>
  <si>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</si>
  <si>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</si>
  <si>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</si>
  <si>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</si>
  <si>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</si>
  <si>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</si>
  <si>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</si>
  <si>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</si>
  <si>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</si>
  <si>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</si>
  <si>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</si>
  <si>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</si>
  <si>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</si>
  <si>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</si>
  <si>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</si>
  <si>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</si>
  <si>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</si>
  <si>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</si>
  <si>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</si>
  <si>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</si>
  <si>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</si>
  <si>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</si>
  <si>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</si>
  <si>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</si>
  <si>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</si>
  <si>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</si>
  <si>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</si>
  <si>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</si>
  <si>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</si>
  <si>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</si>
  <si>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</si>
  <si>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</si>
  <si>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</si>
  <si>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</si>
  <si>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</si>
  <si>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</si>
  <si>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</si>
  <si>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</si>
  <si>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</si>
  <si>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</si>
  <si>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</si>
  <si>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</si>
  <si>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</si>
  <si>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</si>
  <si>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</si>
  <si>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</si>
  <si>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</si>
  <si>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</si>
  <si>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</si>
  <si>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</si>
  <si>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</si>
  <si>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</si>
  <si>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</si>
  <si>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</si>
  <si>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</si>
  <si>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</si>
  <si>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</si>
  <si>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</si>
  <si>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</si>
  <si>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</si>
  <si>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</si>
  <si>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</si>
  <si>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</si>
  <si>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</si>
  <si>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</si>
  <si>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</si>
  <si>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</si>
  <si>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</si>
  <si>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</si>
  <si>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</si>
  <si>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</si>
  <si>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</si>
  <si>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</si>
  <si>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</si>
  <si>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</si>
  <si>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</si>
  <si>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</si>
  <si>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</si>
  <si>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</si>
  <si>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</si>
  <si>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</si>
  <si>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</si>
  <si>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</si>
  <si>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</si>
  <si>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</si>
  <si>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</si>
  <si>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</si>
  <si>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</si>
  <si>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23098</t>
  </si>
  <si>
    <t>DROGENBOS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</si>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</sst>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32743.97000655724</c:v>
                </c:pt>
                <c:pt idx="1">
                  <c:v>46060.191015494041</c:v>
                </c:pt>
                <c:pt idx="2">
                  <c:v>285.46899999999999</c:v>
                </c:pt>
                <c:pt idx="3">
                  <c:v>3535.6630839557079</c:v>
                </c:pt>
                <c:pt idx="4">
                  <c:v>102142.03709768188</c:v>
                </c:pt>
                <c:pt idx="5">
                  <c:v>73236.790955516772</c:v>
                </c:pt>
                <c:pt idx="6">
                  <c:v>1363.0407578994962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32743.97000655724</c:v>
                </c:pt>
                <c:pt idx="1">
                  <c:v>46060.191015494041</c:v>
                </c:pt>
                <c:pt idx="2">
                  <c:v>285.46899999999999</c:v>
                </c:pt>
                <c:pt idx="3">
                  <c:v>3535.6630839557079</c:v>
                </c:pt>
                <c:pt idx="4">
                  <c:v>102142.03709768188</c:v>
                </c:pt>
                <c:pt idx="5">
                  <c:v>73236.790955516772</c:v>
                </c:pt>
                <c:pt idx="6">
                  <c:v>1363.0407578994962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6635.9830104865177</c:v>
                </c:pt>
                <c:pt idx="1">
                  <c:v>9916.1658772659539</c:v>
                </c:pt>
                <c:pt idx="2">
                  <c:v>62.327425720173849</c:v>
                </c:pt>
                <c:pt idx="3">
                  <c:v>714.22220482590603</c:v>
                </c:pt>
                <c:pt idx="4">
                  <c:v>20269.513850158743</c:v>
                </c:pt>
                <c:pt idx="5">
                  <c:v>18713.00891233009</c:v>
                </c:pt>
                <c:pt idx="6">
                  <c:v>352.9831351930253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6635.9830104865177</c:v>
                </c:pt>
                <c:pt idx="1">
                  <c:v>9916.1658772659539</c:v>
                </c:pt>
                <c:pt idx="2">
                  <c:v>62.327425720173849</c:v>
                </c:pt>
                <c:pt idx="3">
                  <c:v>714.22220482590603</c:v>
                </c:pt>
                <c:pt idx="4">
                  <c:v>20269.513850158743</c:v>
                </c:pt>
                <c:pt idx="5">
                  <c:v>18713.00891233009</c:v>
                </c:pt>
                <c:pt idx="6">
                  <c:v>352.9831351930253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2116</v>
      </c>
      <c r="C9" s="342">
        <v>2106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2.14</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0</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86999.403688000006</v>
      </c>
      <c r="E38" s="334">
        <v>0</v>
      </c>
      <c r="F38" s="334">
        <v>0</v>
      </c>
    </row>
    <row r="39" spans="1:6">
      <c r="A39" s="348" t="s">
        <v>30</v>
      </c>
      <c r="B39" s="348" t="s">
        <v>31</v>
      </c>
      <c r="C39" s="334">
        <v>2028</v>
      </c>
      <c r="D39" s="334">
        <v>27944261.419</v>
      </c>
      <c r="E39" s="334">
        <v>2309</v>
      </c>
      <c r="F39" s="334">
        <v>6828599.0822999999</v>
      </c>
    </row>
    <row r="40" spans="1:6">
      <c r="A40" s="348" t="s">
        <v>30</v>
      </c>
      <c r="B40" s="348" t="s">
        <v>29</v>
      </c>
      <c r="C40" s="334">
        <v>0</v>
      </c>
      <c r="D40" s="334">
        <v>0</v>
      </c>
      <c r="E40" s="334">
        <v>0</v>
      </c>
      <c r="F40" s="334">
        <v>0</v>
      </c>
    </row>
    <row r="41" spans="1:6">
      <c r="A41" s="348" t="s">
        <v>32</v>
      </c>
      <c r="B41" s="348" t="s">
        <v>33</v>
      </c>
      <c r="C41" s="334">
        <v>13</v>
      </c>
      <c r="D41" s="334">
        <v>221783.02209000001</v>
      </c>
      <c r="E41" s="334">
        <v>34</v>
      </c>
      <c r="F41" s="334">
        <v>616129.90604999999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486709.69029</v>
      </c>
      <c r="E44" s="334">
        <v>10</v>
      </c>
      <c r="F44" s="334">
        <v>294652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655566.39129000006</v>
      </c>
      <c r="E47" s="334">
        <v>3</v>
      </c>
      <c r="F47" s="334">
        <v>617353.45016999997</v>
      </c>
    </row>
    <row r="48" spans="1:6">
      <c r="A48" s="348" t="s">
        <v>32</v>
      </c>
      <c r="B48" s="348" t="s">
        <v>29</v>
      </c>
      <c r="C48" s="334">
        <v>18</v>
      </c>
      <c r="D48" s="334">
        <v>70127758.461999997</v>
      </c>
      <c r="E48" s="334">
        <v>21</v>
      </c>
      <c r="F48" s="334">
        <v>22886308.046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3031256.9544000002</v>
      </c>
      <c r="E52" s="334">
        <v>1</v>
      </c>
      <c r="F52" s="334">
        <v>66.058989093999998</v>
      </c>
    </row>
    <row r="53" spans="1:6">
      <c r="A53" s="348" t="s">
        <v>44</v>
      </c>
      <c r="B53" s="348" t="s">
        <v>45</v>
      </c>
      <c r="C53" s="334">
        <v>43</v>
      </c>
      <c r="D53" s="334">
        <v>888193.54816000001</v>
      </c>
      <c r="E53" s="334">
        <v>128</v>
      </c>
      <c r="F53" s="334">
        <v>583864.25213000004</v>
      </c>
    </row>
    <row r="54" spans="1:6">
      <c r="A54" s="348" t="s">
        <v>46</v>
      </c>
      <c r="B54" s="348" t="s">
        <v>47</v>
      </c>
      <c r="C54" s="334">
        <v>0</v>
      </c>
      <c r="D54" s="334">
        <v>0</v>
      </c>
      <c r="E54" s="334">
        <v>1</v>
      </c>
      <c r="F54" s="334">
        <v>285469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89613.401832999996</v>
      </c>
      <c r="E57" s="334">
        <v>10</v>
      </c>
      <c r="F57" s="334">
        <v>56552.166270000002</v>
      </c>
    </row>
    <row r="58" spans="1:6">
      <c r="A58" s="348" t="s">
        <v>49</v>
      </c>
      <c r="B58" s="348" t="s">
        <v>51</v>
      </c>
      <c r="C58" s="334">
        <v>3</v>
      </c>
      <c r="D58" s="334">
        <v>117832.11086</v>
      </c>
      <c r="E58" s="334">
        <v>4</v>
      </c>
      <c r="F58" s="334">
        <v>16096.461044</v>
      </c>
    </row>
    <row r="59" spans="1:6">
      <c r="A59" s="348" t="s">
        <v>49</v>
      </c>
      <c r="B59" s="348" t="s">
        <v>52</v>
      </c>
      <c r="C59" s="334">
        <v>32</v>
      </c>
      <c r="D59" s="334">
        <v>9738078.5912999995</v>
      </c>
      <c r="E59" s="334">
        <v>77</v>
      </c>
      <c r="F59" s="334">
        <v>10563816.862</v>
      </c>
    </row>
    <row r="60" spans="1:6">
      <c r="A60" s="348" t="s">
        <v>49</v>
      </c>
      <c r="B60" s="348" t="s">
        <v>53</v>
      </c>
      <c r="C60" s="334">
        <v>13</v>
      </c>
      <c r="D60" s="334">
        <v>1505946.8659999999</v>
      </c>
      <c r="E60" s="334">
        <v>22</v>
      </c>
      <c r="F60" s="334">
        <v>1667396.4105</v>
      </c>
    </row>
    <row r="61" spans="1:6">
      <c r="A61" s="348" t="s">
        <v>49</v>
      </c>
      <c r="B61" s="348" t="s">
        <v>54</v>
      </c>
      <c r="C61" s="334">
        <v>60</v>
      </c>
      <c r="D61" s="334">
        <v>4152920.8555000001</v>
      </c>
      <c r="E61" s="334">
        <v>161</v>
      </c>
      <c r="F61" s="334">
        <v>5128262.8333999999</v>
      </c>
    </row>
    <row r="62" spans="1:6">
      <c r="A62" s="348" t="s">
        <v>49</v>
      </c>
      <c r="B62" s="348" t="s">
        <v>55</v>
      </c>
      <c r="C62" s="334">
        <v>0</v>
      </c>
      <c r="D62" s="334">
        <v>0</v>
      </c>
      <c r="E62" s="334">
        <v>0</v>
      </c>
      <c r="F62" s="334">
        <v>0</v>
      </c>
    </row>
    <row r="63" spans="1:6">
      <c r="A63" s="348" t="s">
        <v>49</v>
      </c>
      <c r="B63" s="348" t="s">
        <v>29</v>
      </c>
      <c r="C63" s="334">
        <v>69</v>
      </c>
      <c r="D63" s="334">
        <v>5097441.8781000003</v>
      </c>
      <c r="E63" s="334">
        <v>80</v>
      </c>
      <c r="F63" s="334">
        <v>3904819.0627000001</v>
      </c>
    </row>
    <row r="64" spans="1:6">
      <c r="A64" s="348" t="s">
        <v>56</v>
      </c>
      <c r="B64" s="348" t="s">
        <v>57</v>
      </c>
      <c r="C64" s="334">
        <v>0</v>
      </c>
      <c r="D64" s="334">
        <v>0</v>
      </c>
      <c r="E64" s="334">
        <v>0</v>
      </c>
      <c r="F64" s="334">
        <v>0</v>
      </c>
    </row>
    <row r="65" spans="1:6">
      <c r="A65" s="348" t="s">
        <v>56</v>
      </c>
      <c r="B65" s="348" t="s">
        <v>29</v>
      </c>
      <c r="C65" s="334">
        <v>2</v>
      </c>
      <c r="D65" s="334">
        <v>15999.683204999999</v>
      </c>
      <c r="E65" s="334">
        <v>4</v>
      </c>
      <c r="F65" s="334">
        <v>42866.582664000001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22010.903912999998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18768615</v>
      </c>
      <c r="E73" s="476">
        <v>19114354.305501562</v>
      </c>
    </row>
    <row r="74" spans="1:6">
      <c r="A74" s="348" t="s">
        <v>64</v>
      </c>
      <c r="B74" s="348" t="s">
        <v>667</v>
      </c>
      <c r="C74" s="1212" t="s">
        <v>669</v>
      </c>
      <c r="D74" s="476">
        <v>540681.91744134587</v>
      </c>
      <c r="E74" s="476">
        <v>540455.63653836993</v>
      </c>
    </row>
    <row r="75" spans="1:6">
      <c r="A75" s="348" t="s">
        <v>65</v>
      </c>
      <c r="B75" s="348" t="s">
        <v>666</v>
      </c>
      <c r="C75" s="1212" t="s">
        <v>670</v>
      </c>
      <c r="D75" s="476">
        <v>17868318</v>
      </c>
      <c r="E75" s="476">
        <v>18197462.925444257</v>
      </c>
    </row>
    <row r="76" spans="1:6">
      <c r="A76" s="348" t="s">
        <v>65</v>
      </c>
      <c r="B76" s="348" t="s">
        <v>667</v>
      </c>
      <c r="C76" s="1212" t="s">
        <v>671</v>
      </c>
      <c r="D76" s="476">
        <v>86503.917441345839</v>
      </c>
      <c r="E76" s="476">
        <v>86214.63627543833</v>
      </c>
    </row>
    <row r="77" spans="1:6">
      <c r="A77" s="348" t="s">
        <v>66</v>
      </c>
      <c r="B77" s="348" t="s">
        <v>666</v>
      </c>
      <c r="C77" s="1212" t="s">
        <v>672</v>
      </c>
      <c r="D77" s="476">
        <v>51198751</v>
      </c>
      <c r="E77" s="476">
        <v>50944255.736528389</v>
      </c>
    </row>
    <row r="78" spans="1:6">
      <c r="A78" s="341" t="s">
        <v>66</v>
      </c>
      <c r="B78" s="341" t="s">
        <v>667</v>
      </c>
      <c r="C78" s="341" t="s">
        <v>673</v>
      </c>
      <c r="D78" s="1213">
        <v>3772895</v>
      </c>
      <c r="E78" s="1213">
        <v>3739420.7766544516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366094.16511730832</v>
      </c>
      <c r="C83" s="476">
        <v>366094.16511730832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264.4378698224852</v>
      </c>
    </row>
    <row r="90" spans="1:6">
      <c r="A90" s="348" t="s">
        <v>552</v>
      </c>
      <c r="B90" s="1214">
        <v>0</v>
      </c>
    </row>
    <row r="91" spans="1:6">
      <c r="A91" s="348" t="s">
        <v>68</v>
      </c>
      <c r="B91" s="334">
        <v>105.61757892525047</v>
      </c>
    </row>
    <row r="92" spans="1:6">
      <c r="A92" s="341" t="s">
        <v>69</v>
      </c>
      <c r="B92" s="342">
        <v>269.33900649770879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52991.721914676833</v>
      </c>
      <c r="C3" s="43" t="s">
        <v>170</v>
      </c>
      <c r="D3" s="43"/>
      <c r="E3" s="154"/>
      <c r="F3" s="43"/>
      <c r="G3" s="43"/>
      <c r="H3" s="43"/>
      <c r="I3" s="43"/>
      <c r="J3" s="43"/>
      <c r="K3" s="96"/>
    </row>
    <row r="4" spans="1:11">
      <c r="A4" s="383" t="s">
        <v>171</v>
      </c>
      <c r="B4" s="49">
        <f>IF(ISERROR('SEAP template'!B69),0,'SEAP template'!B69)</f>
        <v>639.39445524544453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0.21833342926963645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285.46899999999999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285.46899999999999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0.21833342926963645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62.327425720173849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6828.5990823000002</v>
      </c>
      <c r="C5" s="17">
        <f>IF(ISERROR('Eigen informatie GS &amp; warmtenet'!B57),0,'Eigen informatie GS &amp; warmtenet'!B57)</f>
        <v>0</v>
      </c>
      <c r="D5" s="30">
        <f>(SUM(HH_hh_gas_kWh,HH_rest_gas_kWh)/1000)*0.902</f>
        <v>25205.723799937998</v>
      </c>
      <c r="E5" s="17">
        <f>B46*B57</f>
        <v>134.16519804001459</v>
      </c>
      <c r="F5" s="17">
        <f>B51*B62</f>
        <v>0</v>
      </c>
      <c r="G5" s="18"/>
      <c r="H5" s="17"/>
      <c r="I5" s="17"/>
      <c r="J5" s="17">
        <f>B50*B61+C50*C61</f>
        <v>0</v>
      </c>
      <c r="K5" s="17"/>
      <c r="L5" s="17"/>
      <c r="M5" s="17"/>
      <c r="N5" s="17">
        <f>B48*B59+C48*C59</f>
        <v>444.54434735397689</v>
      </c>
      <c r="O5" s="17">
        <f>B69*B70*B71</f>
        <v>6.2533333333333339</v>
      </c>
      <c r="P5" s="17">
        <f>B77*B78*B79/1000-B77*B78*B79/1000/B80</f>
        <v>19.066666666666666</v>
      </c>
    </row>
    <row r="6" spans="1:16">
      <c r="A6" s="16" t="s">
        <v>624</v>
      </c>
      <c r="B6" s="843">
        <f>kWh_PV_kleiner_dan_10kW</f>
        <v>105.61757892525047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6934.2166612252504</v>
      </c>
      <c r="C8" s="21">
        <f>C5</f>
        <v>0</v>
      </c>
      <c r="D8" s="21">
        <f>D5</f>
        <v>25205.723799937998</v>
      </c>
      <c r="E8" s="21">
        <f>E5</f>
        <v>134.16519804001459</v>
      </c>
      <c r="F8" s="21">
        <f>F5</f>
        <v>0</v>
      </c>
      <c r="G8" s="21"/>
      <c r="H8" s="21"/>
      <c r="I8" s="21"/>
      <c r="J8" s="21">
        <f>J5</f>
        <v>0</v>
      </c>
      <c r="K8" s="21"/>
      <c r="L8" s="21">
        <f>L5</f>
        <v>0</v>
      </c>
      <c r="M8" s="21">
        <f>M5</f>
        <v>0</v>
      </c>
      <c r="N8" s="21">
        <f>N5</f>
        <v>444.54434735397689</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0.21833342926963645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1513.9713029439579</v>
      </c>
      <c r="C12" s="23">
        <f ca="1">C10*C8</f>
        <v>0</v>
      </c>
      <c r="D12" s="23">
        <f>D8*D10</f>
        <v>5091.5562075874759</v>
      </c>
      <c r="E12" s="23">
        <f>E10*E8</f>
        <v>30.455499955083312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2116</v>
      </c>
      <c r="C28" s="36"/>
      <c r="D28" s="228"/>
    </row>
    <row r="29" spans="1:7" s="15" customFormat="1">
      <c r="A29" s="230" t="s">
        <v>699</v>
      </c>
      <c r="B29" s="37">
        <f>SUM(HH_hh_gas_aantal,HH_rest_gas_aantal)</f>
        <v>2028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2028</v>
      </c>
      <c r="C32" s="167">
        <f>IF(ISERROR(B32/SUM($B$32,$B$34,$B$35,$B$36,$B$38,$B$39)*100),0,B32/SUM($B$32,$B$34,$B$35,$B$36,$B$38,$B$39)*100)</f>
        <v>95.886524822695037</v>
      </c>
      <c r="D32" s="233"/>
      <c r="G32" s="15"/>
    </row>
    <row r="33" spans="1:7">
      <c r="A33" s="171" t="s">
        <v>72</v>
      </c>
      <c r="B33" s="34" t="s">
        <v>111</v>
      </c>
      <c r="C33" s="167"/>
      <c r="D33" s="233"/>
      <c r="G33" s="15"/>
    </row>
    <row r="34" spans="1:7">
      <c r="A34" s="171" t="s">
        <v>73</v>
      </c>
      <c r="B34" s="33">
        <f>IF((($B$28-$B$32-$B$39-$B$77-$B$38)*C20/100)&lt;0,0,($B$28-$B$32-$B$39-$B$77-$B$38)*C20/100)</f>
        <v>5.9318181818181817</v>
      </c>
      <c r="C34" s="167">
        <f>IF(ISERROR(B34/SUM($B$32,$B$34,$B$35,$B$36,$B$38,$B$39)*100),0,B34/SUM($B$32,$B$34,$B$35,$B$36,$B$38,$B$39)*100)</f>
        <v>0.28046421663442939</v>
      </c>
      <c r="D34" s="233"/>
      <c r="G34" s="15"/>
    </row>
    <row r="35" spans="1:7">
      <c r="A35" s="171" t="s">
        <v>74</v>
      </c>
      <c r="B35" s="33">
        <f>IF((($B$28-$B$32-$B$39-$B$77-$B$38)*C21/100)&lt;0,0,($B$28-$B$32-$B$39-$B$77-$B$38)*C21/100)</f>
        <v>74.14772727272728</v>
      </c>
      <c r="C35" s="167">
        <f>IF(ISERROR(B35/SUM($B$32,$B$34,$B$35,$B$36,$B$38,$B$39)*100),0,B35/SUM($B$32,$B$34,$B$35,$B$36,$B$38,$B$39)*100)</f>
        <v>3.5058027079303682</v>
      </c>
      <c r="D35" s="233"/>
      <c r="G35" s="15"/>
    </row>
    <row r="36" spans="1:7">
      <c r="A36" s="171" t="s">
        <v>75</v>
      </c>
      <c r="B36" s="33">
        <f>IF((($B$28-$B$32-$B$39-$B$77-$B$38)*C22/100)&lt;0,0,($B$28-$B$32-$B$39-$B$77-$B$38)*C22/100)</f>
        <v>6.920454545454545</v>
      </c>
      <c r="C36" s="167">
        <f>IF(ISERROR(B36/SUM($B$32,$B$34,$B$35,$B$36,$B$38,$B$39)*100),0,B36/SUM($B$32,$B$34,$B$35,$B$36,$B$38,$B$39)*100)</f>
        <v>0.32720825274016763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2028</v>
      </c>
      <c r="C44" s="34" t="s">
        <v>111</v>
      </c>
      <c r="D44" s="174"/>
    </row>
    <row r="45" spans="1:7">
      <c r="A45" s="171" t="s">
        <v>72</v>
      </c>
      <c r="B45" s="33" t="str">
        <f t="shared" si="0"/>
        <v>-</v>
      </c>
      <c r="C45" s="34" t="s">
        <v>111</v>
      </c>
      <c r="D45" s="174"/>
    </row>
    <row r="46" spans="1:7">
      <c r="A46" s="171" t="s">
        <v>73</v>
      </c>
      <c r="B46" s="33">
        <f t="shared" si="0"/>
        <v>5.9318181818181817</v>
      </c>
      <c r="C46" s="34" t="s">
        <v>111</v>
      </c>
      <c r="D46" s="174"/>
    </row>
    <row r="47" spans="1:7">
      <c r="A47" s="171" t="s">
        <v>74</v>
      </c>
      <c r="B47" s="33">
        <f t="shared" si="0"/>
        <v>74.14772727272728</v>
      </c>
      <c r="C47" s="34" t="s">
        <v>111</v>
      </c>
      <c r="D47" s="174"/>
    </row>
    <row r="48" spans="1:7">
      <c r="A48" s="171" t="s">
        <v>75</v>
      </c>
      <c r="B48" s="33">
        <f t="shared" si="0"/>
        <v>6.920454545454545</v>
      </c>
      <c r="C48" s="33">
        <f>B48*10</f>
        <v>69.204545454545453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21336.943795914001</v>
      </c>
      <c r="C5" s="17">
        <f>IF(ISERROR('Eigen informatie GS &amp; warmtenet'!B58),0,'Eigen informatie GS &amp; warmtenet'!B58)</f>
        <v>0</v>
      </c>
      <c r="D5" s="30">
        <f>SUM(D6:D12)</f>
        <v>18673.054000640885</v>
      </c>
      <c r="E5" s="17">
        <f>SUM(E6:E12)</f>
        <v>524.56350167598055</v>
      </c>
      <c r="F5" s="17">
        <f>SUM(F6:F12)</f>
        <v>5118.2207683919432</v>
      </c>
      <c r="G5" s="18"/>
      <c r="H5" s="17"/>
      <c r="I5" s="17"/>
      <c r="J5" s="17">
        <f>SUM(J6:J12)</f>
        <v>0</v>
      </c>
      <c r="K5" s="17"/>
      <c r="L5" s="17"/>
      <c r="M5" s="17"/>
      <c r="N5" s="17">
        <f>SUM(N6:N12)</f>
        <v>407.40894887123443</v>
      </c>
      <c r="O5" s="17">
        <f>B38*B39*B40</f>
        <v>0</v>
      </c>
      <c r="P5" s="17">
        <f>B46*B47*B48/1000-B46*B47*B48/1000/B49</f>
        <v>0</v>
      </c>
      <c r="R5" s="32"/>
    </row>
    <row r="6" spans="1:18">
      <c r="A6" s="32" t="s">
        <v>54</v>
      </c>
      <c r="B6" s="37">
        <f>B26</f>
        <v>5128.2628334000001</v>
      </c>
      <c r="C6" s="33"/>
      <c r="D6" s="37">
        <f>IF(ISERROR(TER_kantoor_gas_kWh/1000),0,TER_kantoor_gas_kWh/1000)*0.902</f>
        <v>3745.9346116610004</v>
      </c>
      <c r="E6" s="33">
        <f>$C$26*'E Balans VL '!I12/100/3.6*1000000</f>
        <v>67.135277593011295</v>
      </c>
      <c r="F6" s="33">
        <f>$C$26*('E Balans VL '!L12+'E Balans VL '!N12)/100/3.6*1000000</f>
        <v>1307.6540290284465</v>
      </c>
      <c r="G6" s="34"/>
      <c r="H6" s="33"/>
      <c r="I6" s="33"/>
      <c r="J6" s="33">
        <f>$C$26*('E Balans VL '!D12+'E Balans VL '!E12)/100/3.6*1000000</f>
        <v>0</v>
      </c>
      <c r="K6" s="33"/>
      <c r="L6" s="33"/>
      <c r="M6" s="33"/>
      <c r="N6" s="33">
        <f>$C$26*'E Balans VL '!Y12/100/3.6*1000000</f>
        <v>5.1455319838073121</v>
      </c>
      <c r="O6" s="33"/>
      <c r="P6" s="33"/>
      <c r="R6" s="32"/>
    </row>
    <row r="7" spans="1:18">
      <c r="A7" s="32" t="s">
        <v>53</v>
      </c>
      <c r="B7" s="37">
        <f t="shared" ref="B7:B12" si="0">B27</f>
        <v>1667.3964105</v>
      </c>
      <c r="C7" s="33"/>
      <c r="D7" s="37">
        <f>IF(ISERROR(TER_horeca_gas_kWh/1000),0,TER_horeca_gas_kWh/1000)*0.902</f>
        <v>1358.3640731319999</v>
      </c>
      <c r="E7" s="33">
        <f>$C$27*'E Balans VL '!I9/100/3.6*1000000</f>
        <v>55.180678755422356</v>
      </c>
      <c r="F7" s="33">
        <f>$C$27*('E Balans VL '!L9+'E Balans VL '!N9)/100/3.6*1000000</f>
        <v>716.97406627791679</v>
      </c>
      <c r="G7" s="34"/>
      <c r="H7" s="33"/>
      <c r="I7" s="33"/>
      <c r="J7" s="33">
        <f>$C$27*('E Balans VL '!D9+'E Balans VL '!E9)/100/3.6*1000000</f>
        <v>0</v>
      </c>
      <c r="K7" s="33"/>
      <c r="L7" s="33"/>
      <c r="M7" s="33"/>
      <c r="N7" s="33">
        <f>$C$27*'E Balans VL '!Y9/100/3.6*1000000</f>
        <v>0.40136652926041416</v>
      </c>
      <c r="O7" s="33"/>
      <c r="P7" s="33"/>
      <c r="R7" s="32"/>
    </row>
    <row r="8" spans="1:18">
      <c r="A8" s="6" t="s">
        <v>52</v>
      </c>
      <c r="B8" s="37">
        <f t="shared" si="0"/>
        <v>10563.816862</v>
      </c>
      <c r="C8" s="33"/>
      <c r="D8" s="37">
        <f>IF(ISERROR(TER_handel_gas_kWh/1000),0,TER_handel_gas_kWh/1000)*0.902</f>
        <v>8783.7468893526002</v>
      </c>
      <c r="E8" s="33">
        <f>$C$28*'E Balans VL '!I13/100/3.6*1000000</f>
        <v>333.41020119642172</v>
      </c>
      <c r="F8" s="33">
        <f>$C$28*('E Balans VL '!L13+'E Balans VL '!N13)/100/3.6*1000000</f>
        <v>2071.7505039041639</v>
      </c>
      <c r="G8" s="34"/>
      <c r="H8" s="33"/>
      <c r="I8" s="33"/>
      <c r="J8" s="33">
        <f>$C$28*('E Balans VL '!D13+'E Balans VL '!E13)/100/3.6*1000000</f>
        <v>0</v>
      </c>
      <c r="K8" s="33"/>
      <c r="L8" s="33"/>
      <c r="M8" s="33"/>
      <c r="N8" s="33">
        <f>$C$28*'E Balans VL '!Y13/100/3.6*1000000</f>
        <v>12.537199675328537</v>
      </c>
      <c r="O8" s="33"/>
      <c r="P8" s="33"/>
      <c r="R8" s="32"/>
    </row>
    <row r="9" spans="1:18">
      <c r="A9" s="32" t="s">
        <v>51</v>
      </c>
      <c r="B9" s="37">
        <f t="shared" si="0"/>
        <v>16.096461043999998</v>
      </c>
      <c r="C9" s="33"/>
      <c r="D9" s="37">
        <f>IF(ISERROR(TER_gezond_gas_kWh/1000),0,TER_gezond_gas_kWh/1000)*0.902</f>
        <v>106.28456399572001</v>
      </c>
      <c r="E9" s="33">
        <f>$C$29*'E Balans VL '!I10/100/3.6*1000000</f>
        <v>2.060817905151642E-3</v>
      </c>
      <c r="F9" s="33">
        <f>$C$29*('E Balans VL '!L10+'E Balans VL '!N10)/100/3.6*1000000</f>
        <v>3.3535674999760916</v>
      </c>
      <c r="G9" s="34"/>
      <c r="H9" s="33"/>
      <c r="I9" s="33"/>
      <c r="J9" s="33">
        <f>$C$29*('E Balans VL '!D10+'E Balans VL '!E10)/100/3.6*1000000</f>
        <v>0</v>
      </c>
      <c r="K9" s="33"/>
      <c r="L9" s="33"/>
      <c r="M9" s="33"/>
      <c r="N9" s="33">
        <f>$C$29*'E Balans VL '!Y10/100/3.6*1000000</f>
        <v>0.18906054314948606</v>
      </c>
      <c r="O9" s="33"/>
      <c r="P9" s="33"/>
      <c r="R9" s="32"/>
    </row>
    <row r="10" spans="1:18">
      <c r="A10" s="32" t="s">
        <v>50</v>
      </c>
      <c r="B10" s="37">
        <f t="shared" si="0"/>
        <v>56.552166270000001</v>
      </c>
      <c r="C10" s="33"/>
      <c r="D10" s="37">
        <f>IF(ISERROR(TER_ander_gas_kWh/1000),0,TER_ander_gas_kWh/1000)*0.902</f>
        <v>80.831288453366</v>
      </c>
      <c r="E10" s="33">
        <f>$C$30*'E Balans VL '!I14/100/3.6*1000000</f>
        <v>8.5041158946650944E-2</v>
      </c>
      <c r="F10" s="33">
        <f>$C$30*('E Balans VL '!L14+'E Balans VL '!N14)/100/3.6*1000000</f>
        <v>12.484895376127515</v>
      </c>
      <c r="G10" s="34"/>
      <c r="H10" s="33"/>
      <c r="I10" s="33"/>
      <c r="J10" s="33">
        <f>$C$30*('E Balans VL '!D14+'E Balans VL '!E14)/100/3.6*1000000</f>
        <v>0</v>
      </c>
      <c r="K10" s="33"/>
      <c r="L10" s="33"/>
      <c r="M10" s="33"/>
      <c r="N10" s="33">
        <f>$C$30*'E Balans VL '!Y14/100/3.6*1000000</f>
        <v>44.566912838056375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3904.8190626999999</v>
      </c>
      <c r="C12" s="33"/>
      <c r="D12" s="37">
        <f>IF(ISERROR(TER_rest_gas_kWh/1000),0,TER_rest_gas_kWh/1000)*0.902</f>
        <v>4597.8925740462</v>
      </c>
      <c r="E12" s="33">
        <f>$C$32*'E Balans VL '!I8/100/3.6*1000000</f>
        <v>68.750242154273394</v>
      </c>
      <c r="F12" s="33">
        <f>$C$32*('E Balans VL '!L8+'E Balans VL '!N8)/100/3.6*1000000</f>
        <v>1006.0037063053126</v>
      </c>
      <c r="G12" s="34"/>
      <c r="H12" s="33"/>
      <c r="I12" s="33"/>
      <c r="J12" s="33">
        <f>$C$32*('E Balans VL '!D8+'E Balans VL '!E8)/100/3.6*1000000</f>
        <v>0</v>
      </c>
      <c r="K12" s="33"/>
      <c r="L12" s="33"/>
      <c r="M12" s="33"/>
      <c r="N12" s="33">
        <f>$C$32*'E Balans VL '!Y8/100/3.6*1000000</f>
        <v>344.56887730163231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21336.943795914001</v>
      </c>
      <c r="C16" s="21">
        <f t="shared" ca="1" si="1"/>
        <v>0</v>
      </c>
      <c r="D16" s="21">
        <f t="shared" ca="1" si="1"/>
        <v>18673.054000640885</v>
      </c>
      <c r="E16" s="21">
        <f t="shared" si="1"/>
        <v>524.56350167598055</v>
      </c>
      <c r="F16" s="21">
        <f t="shared" ca="1" si="1"/>
        <v>5118.2207683919432</v>
      </c>
      <c r="G16" s="21">
        <f t="shared" si="1"/>
        <v>0</v>
      </c>
      <c r="H16" s="21">
        <f t="shared" si="1"/>
        <v>0</v>
      </c>
      <c r="I16" s="21">
        <f t="shared" si="1"/>
        <v>0</v>
      </c>
      <c r="J16" s="21">
        <f t="shared" si="1"/>
        <v>0</v>
      </c>
      <c r="K16" s="21">
        <f t="shared" si="1"/>
        <v>0</v>
      </c>
      <c r="L16" s="21">
        <f t="shared" ca="1" si="1"/>
        <v>0</v>
      </c>
      <c r="M16" s="21">
        <f t="shared" si="1"/>
        <v>0</v>
      </c>
      <c r="N16" s="21">
        <f t="shared" ca="1" si="1"/>
        <v>407.40894887123443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0.21833342926963645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4658.5681090953976</v>
      </c>
      <c r="C20" s="23">
        <f t="shared" ref="C20:P20" ca="1" si="2">C16*C18</f>
        <v>0</v>
      </c>
      <c r="D20" s="23">
        <f t="shared" ca="1" si="2"/>
        <v>3771.956908129459</v>
      </c>
      <c r="E20" s="23">
        <f t="shared" si="2"/>
        <v>119.07591488044758</v>
      </c>
      <c r="F20" s="23">
        <f t="shared" ca="1" si="2"/>
        <v>1366.5649451606489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5128.2628334000001</v>
      </c>
      <c r="C26" s="39">
        <f>IF(ISERROR(B26*3.6/1000000/'E Balans VL '!Z12*100),0,B26*3.6/1000000/'E Balans VL '!Z12*100)</f>
        <v>0.10985137388368851</v>
      </c>
      <c r="D26" s="237" t="s">
        <v>660</v>
      </c>
      <c r="F26" s="6"/>
    </row>
    <row r="27" spans="1:18">
      <c r="A27" s="231" t="s">
        <v>53</v>
      </c>
      <c r="B27" s="33">
        <f>IF(ISERROR(TER_horeca_ele_kWh/1000),0,TER_horeca_ele_kWh/1000)</f>
        <v>1667.3964105</v>
      </c>
      <c r="C27" s="39">
        <f>IF(ISERROR(B27*3.6/1000000/'E Balans VL '!Z9*100),0,B27*3.6/1000000/'E Balans VL '!Z9*100)</f>
        <v>0.1338027661318609</v>
      </c>
      <c r="D27" s="237" t="s">
        <v>660</v>
      </c>
      <c r="F27" s="6"/>
    </row>
    <row r="28" spans="1:18">
      <c r="A28" s="171" t="s">
        <v>52</v>
      </c>
      <c r="B28" s="33">
        <f>IF(ISERROR(TER_handel_ele_kWh/1000),0,TER_handel_ele_kWh/1000)</f>
        <v>10563.816862</v>
      </c>
      <c r="C28" s="39">
        <f>IF(ISERROR(B28*3.6/1000000/'E Balans VL '!Z13*100),0,B28*3.6/1000000/'E Balans VL '!Z13*100)</f>
        <v>0.31157200579228361</v>
      </c>
      <c r="D28" s="237" t="s">
        <v>660</v>
      </c>
      <c r="F28" s="6"/>
    </row>
    <row r="29" spans="1:18">
      <c r="A29" s="231" t="s">
        <v>51</v>
      </c>
      <c r="B29" s="33">
        <f>IF(ISERROR(TER_gezond_ele_kWh/1000),0,TER_gezond_ele_kWh/1000)</f>
        <v>16.096461043999998</v>
      </c>
      <c r="C29" s="39">
        <f>IF(ISERROR(B29*3.6/1000000/'E Balans VL '!Z10*100),0,B29*3.6/1000000/'E Balans VL '!Z10*100)</f>
        <v>1.7186704771951571E-3</v>
      </c>
      <c r="D29" s="237" t="s">
        <v>660</v>
      </c>
      <c r="F29" s="6"/>
    </row>
    <row r="30" spans="1:18">
      <c r="A30" s="231" t="s">
        <v>50</v>
      </c>
      <c r="B30" s="33">
        <f>IF(ISERROR(TER_ander_ele_kWh/1000),0,TER_ander_ele_kWh/1000)</f>
        <v>56.552166270000001</v>
      </c>
      <c r="C30" s="39">
        <f>IF(ISERROR(B30*3.6/1000000/'E Balans VL '!Z14*100),0,B30*3.6/1000000/'E Balans VL '!Z14*100)</f>
        <v>4.271607189772421E-3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3904.8190626999999</v>
      </c>
      <c r="C32" s="39">
        <f>IF(ISERROR(B32*3.6/1000000/'E Balans VL '!Z8*100),0,B32*3.6/1000000/'E Balans VL '!Z8*100)</f>
        <v>3.2376387451101607E-2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24414.44340222</v>
      </c>
      <c r="C5" s="17">
        <f>IF(ISERROR('Eigen informatie GS &amp; warmtenet'!B59),0,'Eigen informatie GS &amp; warmtenet'!B59)</f>
        <v>0</v>
      </c>
      <c r="D5" s="30">
        <f>SUM(D6:D15)</f>
        <v>64485.61944423434</v>
      </c>
      <c r="E5" s="17">
        <f>SUM(E6:E15)</f>
        <v>1412.5786096446682</v>
      </c>
      <c r="F5" s="17">
        <f>SUM(F6:F15)</f>
        <v>5662.7794564570449</v>
      </c>
      <c r="G5" s="18"/>
      <c r="H5" s="17"/>
      <c r="I5" s="17"/>
      <c r="J5" s="17">
        <f>SUM(J6:J15)</f>
        <v>226.87037131043695</v>
      </c>
      <c r="K5" s="17"/>
      <c r="L5" s="17"/>
      <c r="M5" s="17"/>
      <c r="N5" s="17">
        <f>SUM(N6:N15)</f>
        <v>5939.745813815387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294.65199999999999</v>
      </c>
      <c r="C8" s="33"/>
      <c r="D8" s="37">
        <f>IF( ISERROR(IND_metaal_Gas_kWH/1000),0,IND_metaal_Gas_kWH/1000)*0.902</f>
        <v>439.01214064158006</v>
      </c>
      <c r="E8" s="33">
        <f>C30*'E Balans VL '!I18/100/3.6*1000000</f>
        <v>10.602470342725058</v>
      </c>
      <c r="F8" s="33">
        <f>C30*'E Balans VL '!L18/100/3.6*1000000+C30*'E Balans VL '!N18/100/3.6*1000000</f>
        <v>128.66497680981433</v>
      </c>
      <c r="G8" s="34"/>
      <c r="H8" s="33"/>
      <c r="I8" s="33"/>
      <c r="J8" s="40">
        <f>C30*'E Balans VL '!D18/100/3.6*1000000+C30*'E Balans VL '!E18/100/3.6*1000000</f>
        <v>0</v>
      </c>
      <c r="K8" s="33"/>
      <c r="L8" s="33"/>
      <c r="M8" s="33"/>
      <c r="N8" s="33">
        <f>C30*'E Balans VL '!Y18/100/3.6*1000000</f>
        <v>14.767758002748939</v>
      </c>
      <c r="O8" s="33"/>
      <c r="P8" s="33"/>
      <c r="R8" s="32"/>
    </row>
    <row r="9" spans="1:18">
      <c r="A9" s="6" t="s">
        <v>33</v>
      </c>
      <c r="B9" s="37">
        <f t="shared" si="0"/>
        <v>616.12990605000005</v>
      </c>
      <c r="C9" s="33"/>
      <c r="D9" s="37">
        <f>IF( ISERROR(IND_andere_gas_kWh/1000),0,IND_andere_gas_kWh/1000)*0.902</f>
        <v>200.04828592518001</v>
      </c>
      <c r="E9" s="33">
        <f>C31*'E Balans VL '!I19/100/3.6*1000000</f>
        <v>157.22241169438152</v>
      </c>
      <c r="F9" s="33">
        <f>C31*'E Balans VL '!L19/100/3.6*1000000+C31*'E Balans VL '!N19/100/3.6*1000000</f>
        <v>530.44153898492857</v>
      </c>
      <c r="G9" s="34"/>
      <c r="H9" s="33"/>
      <c r="I9" s="33"/>
      <c r="J9" s="40">
        <f>C31*'E Balans VL '!D19/100/3.6*1000000+C31*'E Balans VL '!E19/100/3.6*1000000</f>
        <v>0</v>
      </c>
      <c r="K9" s="33"/>
      <c r="L9" s="33"/>
      <c r="M9" s="33"/>
      <c r="N9" s="33">
        <f>C31*'E Balans VL '!Y19/100/3.6*1000000</f>
        <v>192.68492186743336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617.35345016999997</v>
      </c>
      <c r="C13" s="33"/>
      <c r="D13" s="37">
        <f>IF( ISERROR(IND_papier_gas_kWh/1000),0,IND_papier_gas_kWh/1000)*0.902</f>
        <v>591.32088494358004</v>
      </c>
      <c r="E13" s="33">
        <f>C35*'E Balans VL '!I23/100/3.6*1000000</f>
        <v>2.647649348681727</v>
      </c>
      <c r="F13" s="33">
        <f>C35*'E Balans VL '!L23/100/3.6*1000000+C35*'E Balans VL '!N23/100/3.6*1000000</f>
        <v>15.516008345899678</v>
      </c>
      <c r="G13" s="34"/>
      <c r="H13" s="33"/>
      <c r="I13" s="33"/>
      <c r="J13" s="40">
        <f>C35*'E Balans VL '!D23/100/3.6*1000000+C35*'E Balans VL '!E23/100/3.6*1000000</f>
        <v>41.328427444495503</v>
      </c>
      <c r="K13" s="33"/>
      <c r="L13" s="33"/>
      <c r="M13" s="33"/>
      <c r="N13" s="33">
        <f>C35*'E Balans VL '!Y23/100/3.6*1000000</f>
        <v>1123.7300915610856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22886.308045999998</v>
      </c>
      <c r="C15" s="33"/>
      <c r="D15" s="37">
        <f>IF( ISERROR(IND_rest_gas_kWh/1000),0,IND_rest_gas_kWh/1000)*0.902</f>
        <v>63255.238132724</v>
      </c>
      <c r="E15" s="33">
        <f>C37*'E Balans VL '!I15/100/3.6*1000000</f>
        <v>1242.1060782588797</v>
      </c>
      <c r="F15" s="33">
        <f>C37*'E Balans VL '!L15/100/3.6*1000000+C37*'E Balans VL '!N15/100/3.6*1000000</f>
        <v>4988.1569323164022</v>
      </c>
      <c r="G15" s="34"/>
      <c r="H15" s="33"/>
      <c r="I15" s="33"/>
      <c r="J15" s="40">
        <f>C37*'E Balans VL '!D15/100/3.6*1000000+C37*'E Balans VL '!E15/100/3.6*1000000</f>
        <v>185.54194386594145</v>
      </c>
      <c r="K15" s="33"/>
      <c r="L15" s="33"/>
      <c r="M15" s="33"/>
      <c r="N15" s="33">
        <f>C37*'E Balans VL '!Y15/100/3.6*1000000</f>
        <v>4608.5630423841194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24414.44340222</v>
      </c>
      <c r="C18" s="21">
        <f>C5+C16</f>
        <v>0</v>
      </c>
      <c r="D18" s="21">
        <f>MAX((D5+D16),0)</f>
        <v>64485.61944423434</v>
      </c>
      <c r="E18" s="21">
        <f>MAX((E5+E16),0)</f>
        <v>1412.5786096446682</v>
      </c>
      <c r="F18" s="21">
        <f>MAX((F5+F16),0)</f>
        <v>5662.7794564570449</v>
      </c>
      <c r="G18" s="21"/>
      <c r="H18" s="21"/>
      <c r="I18" s="21"/>
      <c r="J18" s="21">
        <f>MAX((J5+J16),0)</f>
        <v>226.87037131043695</v>
      </c>
      <c r="K18" s="21"/>
      <c r="L18" s="21">
        <f>MAX((L5+L16),0)</f>
        <v>0</v>
      </c>
      <c r="M18" s="21"/>
      <c r="N18" s="21">
        <f>MAX((N5+N16),0)</f>
        <v>5939.745813815387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0.21833342926963645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5330.4891517161423</v>
      </c>
      <c r="C22" s="23">
        <f ca="1">C18*C20</f>
        <v>0</v>
      </c>
      <c r="D22" s="23">
        <f>D18*D20</f>
        <v>13026.095127735338</v>
      </c>
      <c r="E22" s="23">
        <f>E18*E20</f>
        <v>320.65534438933969</v>
      </c>
      <c r="F22" s="23">
        <f>F18*F20</f>
        <v>1511.9621148740312</v>
      </c>
      <c r="G22" s="23"/>
      <c r="H22" s="23"/>
      <c r="I22" s="23"/>
      <c r="J22" s="23">
        <f>J18*J20</f>
        <v>80.312111443894679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294.65199999999999</v>
      </c>
      <c r="C30" s="39">
        <f>IF(ISERROR(B30*3.6/1000000/'E Balans VL '!Z18*100),0,B30*3.6/1000000/'E Balans VL '!Z18*100)</f>
        <v>6.24304416276125E-2</v>
      </c>
      <c r="D30" s="237" t="s">
        <v>660</v>
      </c>
    </row>
    <row r="31" spans="1:18">
      <c r="A31" s="6" t="s">
        <v>33</v>
      </c>
      <c r="B31" s="37">
        <f>IF( ISERROR(IND_ander_ele_kWh/1000),0,IND_ander_ele_kWh/1000)</f>
        <v>616.12990605000005</v>
      </c>
      <c r="C31" s="39">
        <f>IF(ISERROR(B31*3.6/1000000/'E Balans VL '!Z19*100),0,B31*3.6/1000000/'E Balans VL '!Z19*100)</f>
        <v>2.5934306770341541E-2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617.35345016999997</v>
      </c>
      <c r="C35" s="39">
        <f>IF(ISERROR(B35*3.6/1000000/'E Balans VL '!Z22*100),0,B35*3.6/1000000/'E Balans VL '!Z22*100)</f>
        <v>7.8252879186371083E-2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22886.308045999998</v>
      </c>
      <c r="C37" s="39">
        <f>IF(ISERROR(B37*3.6/1000000/'E Balans VL '!Z15*100),0,B37*3.6/1000000/'E Balans VL '!Z15*100)</f>
        <v>0.18477002684001134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6.6058989094000001E-2</v>
      </c>
      <c r="C5" s="17">
        <f>'Eigen informatie GS &amp; warmtenet'!B60</f>
        <v>0</v>
      </c>
      <c r="D5" s="30">
        <f>IF(ISERROR(SUM(LB_lb_gas_kWh,LB_rest_gas_kWh,onbekend_gas_kWh)/1000),0,SUM(LB_lb_gas_kWh,LB_rest_gas_kWh,onbekend_gas_kWh)/1000)*0.902</f>
        <v>3535.3443533091204</v>
      </c>
      <c r="E5" s="17">
        <f>B17*'E Balans VL '!I25/3.6*1000000/100</f>
        <v>1.7034076915403416E-3</v>
      </c>
      <c r="F5" s="17">
        <f>B17*('E Balans VL '!L25/3.6*1000000+'E Balans VL '!N25/3.6*1000000)/100</f>
        <v>0.24145818546192682</v>
      </c>
      <c r="G5" s="18"/>
      <c r="H5" s="17"/>
      <c r="I5" s="17"/>
      <c r="J5" s="17">
        <f>('E Balans VL '!D25+'E Balans VL '!E25)/3.6*1000000*landbouw!B17/100</f>
        <v>9.5100643401575379E-3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6.6058989094000001E-2</v>
      </c>
      <c r="C8" s="21">
        <f>C5+C6</f>
        <v>0</v>
      </c>
      <c r="D8" s="21">
        <f>MAX((D5+D6),0)</f>
        <v>3535.3443533091204</v>
      </c>
      <c r="E8" s="21">
        <f>MAX((E5+E6),0)</f>
        <v>1.7034076915403416E-3</v>
      </c>
      <c r="F8" s="21">
        <f>MAX((F5+F6),0)</f>
        <v>0.24145818546192682</v>
      </c>
      <c r="G8" s="21"/>
      <c r="H8" s="21"/>
      <c r="I8" s="21"/>
      <c r="J8" s="21">
        <f>MAX((J5+J6),0)</f>
        <v>9.5100643401575379E-3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0.21833342926963645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1.4422885622978535E-2</v>
      </c>
      <c r="C12" s="23">
        <f ca="1">C8*C10</f>
        <v>0</v>
      </c>
      <c r="D12" s="23">
        <f>D8*D10</f>
        <v>714.13955936844241</v>
      </c>
      <c r="E12" s="23">
        <f>E8*E10</f>
        <v>3.8667354597965756E-4</v>
      </c>
      <c r="F12" s="23">
        <f>F8*F10</f>
        <v>6.4469335518334461E-2</v>
      </c>
      <c r="G12" s="23"/>
      <c r="H12" s="23"/>
      <c r="I12" s="23"/>
      <c r="J12" s="23">
        <f>J8*J10</f>
        <v>3.3665627764157681E-3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9.3147550271862962E-6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1.411775251795911E-2</v>
      </c>
      <c r="C29" s="247">
        <f>B29*'GWP N2O_CH4'!B4</f>
        <v>4.3765032805673245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3.1772614975294566E-6</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7.4098786782564793E-5</v>
      </c>
      <c r="C5" s="463" t="s">
        <v>211</v>
      </c>
      <c r="D5" s="448">
        <f>SUM(D6:D11)</f>
        <v>1.7433778324182106E-4</v>
      </c>
      <c r="E5" s="448">
        <f>SUM(E6:E11)</f>
        <v>7.5739277883417268E-4</v>
      </c>
      <c r="F5" s="461" t="s">
        <v>211</v>
      </c>
      <c r="G5" s="448">
        <f>SUM(G6:G11)</f>
        <v>0.20690080080709461</v>
      </c>
      <c r="H5" s="448">
        <f>SUM(H6:H11)</f>
        <v>4.7795163187393158E-2</v>
      </c>
      <c r="I5" s="463" t="s">
        <v>211</v>
      </c>
      <c r="J5" s="463" t="s">
        <v>211</v>
      </c>
      <c r="K5" s="463" t="s">
        <v>211</v>
      </c>
      <c r="L5" s="463" t="s">
        <v>211</v>
      </c>
      <c r="M5" s="448">
        <f>SUM(M6:M11)</f>
        <v>7.9506540965140308E-3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1.58333326246887E-5</v>
      </c>
      <c r="C6" s="449"/>
      <c r="D6" s="962">
        <f>vkm_2011_GW_PW*SUMIFS(TableVerdeelsleutelVkm[CNG],TableVerdeelsleutelVkm[Voertuigtype],"Lichte voertuigen")*SUMIFS(TableECFTransport[EnergieConsumptieFactor (PJ per km)],TableECFTransport[Index],CONCATENATE($A6,"_CNG_CNG"))</f>
        <v>3.1461109270373012E-5</v>
      </c>
      <c r="E6" s="962">
        <f>vkm_2011_GW_PW*SUMIFS(TableVerdeelsleutelVkm[LPG],TableVerdeelsleutelVkm[Voertuigtype],"Lichte voertuigen")*SUMIFS(TableECFTransport[EnergieConsumptieFactor (PJ per km)],TableECFTransport[Index],CONCATENATE($A6,"_LPG_LPG"))</f>
        <v>1.238107429411448E-4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2.9437946477094506E-2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8.5174687660375479E-3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1.182725787518879E-3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5.1809210174193912E-3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1.6736587839366616E-6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1.6324289405563722E-4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1.5073835887075971E-5</v>
      </c>
      <c r="C8" s="449"/>
      <c r="D8" s="451">
        <f>vkm_2011_NGW_PW*SUMIFS(TableVerdeelsleutelVkm[CNG],TableVerdeelsleutelVkm[Voertuigtype],"Lichte voertuigen")*SUMIFS(TableECFTransport[EnergieConsumptieFactor (PJ per km)],TableECFTransport[Index],CONCATENATE($A8,"_CNG_CNG"))</f>
        <v>5.3034023215203822E-5</v>
      </c>
      <c r="E8" s="451">
        <f>vkm_2011_NGW_PW*SUMIFS(TableVerdeelsleutelVkm[LPG],TableVerdeelsleutelVkm[Voertuigtype],"Lichte voertuigen")*SUMIFS(TableECFTransport[EnergieConsumptieFactor (PJ per km)],TableECFTransport[Index],CONCATENATE($A8,"_LPG_LPG"))</f>
        <v>1.9301792934370301E-4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4.2855406245841873E-2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1.3922207688751874E-2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1.7674649665881997E-3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1.058007164267831E-3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3.2323015963803144E-7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3.3335630499943154E-5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4.3191618270800124E-5</v>
      </c>
      <c r="C10" s="449"/>
      <c r="D10" s="451">
        <f>vkm_2011_SW_PW*SUMIFS(TableVerdeelsleutelVkm[CNG],TableVerdeelsleutelVkm[Voertuigtype],"Lichte voertuigen")*SUMIFS(TableECFTransport[EnergieConsumptieFactor (PJ per km)],TableECFTransport[Index],CONCATENATE($A10,"_CNG_CNG"))</f>
        <v>8.9842650756244205E-5</v>
      </c>
      <c r="E10" s="451">
        <f>vkm_2011_SW_PW*SUMIFS(TableVerdeelsleutelVkm[LPG],TableVerdeelsleutelVkm[Voertuigtype],"Lichte voertuigen")*SUMIFS(TableECFTransport[EnergieConsumptieFactor (PJ per km)],TableECFTransport[Index],CONCATENATE($A10,"_LPG_LPG"))</f>
        <v>4.4056410654932492E-4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9.3835096303701127E-2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2.5341470192388842E-2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3.7157635684590576E-3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3.4533423598769875E-2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1.2019651271314762E-5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1.0881212493923146E-3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20.582996328490221</v>
      </c>
      <c r="C14" s="21"/>
      <c r="D14" s="21">
        <f t="shared" ref="D14:M14" si="0">((D5)*10^9/3600)+D12</f>
        <v>48.427162011616957</v>
      </c>
      <c r="E14" s="21">
        <f t="shared" si="0"/>
        <v>210.38688300949241</v>
      </c>
      <c r="F14" s="21"/>
      <c r="G14" s="21">
        <f t="shared" si="0"/>
        <v>57472.444668637392</v>
      </c>
      <c r="H14" s="21">
        <f t="shared" si="0"/>
        <v>13276.434218720322</v>
      </c>
      <c r="I14" s="21"/>
      <c r="J14" s="21"/>
      <c r="K14" s="21"/>
      <c r="L14" s="21"/>
      <c r="M14" s="21">
        <f t="shared" si="0"/>
        <v>2208.515026809453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0.21833342926963645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4.4939561730436068</v>
      </c>
      <c r="C18" s="23"/>
      <c r="D18" s="23">
        <f t="shared" ref="D18:M18" si="1">D14*D16</f>
        <v>9.7822867263466264</v>
      </c>
      <c r="E18" s="23">
        <f t="shared" si="1"/>
        <v>47.75782244315478</v>
      </c>
      <c r="F18" s="23"/>
      <c r="G18" s="23">
        <f t="shared" si="1"/>
        <v>15345.142726526185</v>
      </c>
      <c r="H18" s="23">
        <f t="shared" si="1"/>
        <v>3305.8321204613603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4.7593231711419142E-3</v>
      </c>
      <c r="H50" s="321">
        <f t="shared" si="2"/>
        <v>0</v>
      </c>
      <c r="I50" s="321">
        <f t="shared" si="2"/>
        <v>0</v>
      </c>
      <c r="J50" s="321">
        <f t="shared" si="2"/>
        <v>0</v>
      </c>
      <c r="K50" s="321">
        <f t="shared" si="2"/>
        <v>0</v>
      </c>
      <c r="L50" s="321">
        <f t="shared" si="2"/>
        <v>0</v>
      </c>
      <c r="M50" s="321">
        <f t="shared" si="2"/>
        <v>1.4762355729627206E-4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4.7593231711419142E-3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1.4762355729627206E-4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1322.0342142060872</v>
      </c>
      <c r="H54" s="21">
        <f t="shared" si="3"/>
        <v>0</v>
      </c>
      <c r="I54" s="21">
        <f t="shared" si="3"/>
        <v>0</v>
      </c>
      <c r="J54" s="21">
        <f t="shared" si="3"/>
        <v>0</v>
      </c>
      <c r="K54" s="21">
        <f t="shared" si="3"/>
        <v>0</v>
      </c>
      <c r="L54" s="21">
        <f t="shared" si="3"/>
        <v>0</v>
      </c>
      <c r="M54" s="21">
        <f t="shared" si="3"/>
        <v>41.006543693408901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0.21833342926963645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352.9831351930253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264.4378698224852</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374.95658542295928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639.39445524544453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21622.412795914002</v>
      </c>
      <c r="D10" s="718">
        <f ca="1">tertiair!C16</f>
        <v>0</v>
      </c>
      <c r="E10" s="718">
        <f ca="1">tertiair!D16</f>
        <v>18673.054000640885</v>
      </c>
      <c r="F10" s="718">
        <f>tertiair!E16</f>
        <v>524.56350167598055</v>
      </c>
      <c r="G10" s="718">
        <f ca="1">tertiair!F16</f>
        <v>5118.2207683919432</v>
      </c>
      <c r="H10" s="718">
        <f>tertiair!G16</f>
        <v>0</v>
      </c>
      <c r="I10" s="718">
        <f>tertiair!H16</f>
        <v>0</v>
      </c>
      <c r="J10" s="718">
        <f>tertiair!I16</f>
        <v>0</v>
      </c>
      <c r="K10" s="718">
        <f>tertiair!J16</f>
        <v>0</v>
      </c>
      <c r="L10" s="718">
        <f>tertiair!K16</f>
        <v>0</v>
      </c>
      <c r="M10" s="718">
        <f ca="1">tertiair!L16</f>
        <v>0</v>
      </c>
      <c r="N10" s="718">
        <f>tertiair!M16</f>
        <v>0</v>
      </c>
      <c r="O10" s="718">
        <f ca="1">tertiair!N16</f>
        <v>407.40894887123443</v>
      </c>
      <c r="P10" s="718">
        <f>tertiair!O16</f>
        <v>0</v>
      </c>
      <c r="Q10" s="719">
        <f>tertiair!P16</f>
        <v>0</v>
      </c>
      <c r="R10" s="721">
        <f ca="1">SUM(C10:Q10)</f>
        <v>46345.660015494039</v>
      </c>
      <c r="S10" s="67"/>
    </row>
    <row r="11" spans="1:19" s="474" customFormat="1">
      <c r="A11" s="870" t="s">
        <v>225</v>
      </c>
      <c r="B11" s="875"/>
      <c r="C11" s="718">
        <f>huishoudens!B8</f>
        <v>6934.2166612252504</v>
      </c>
      <c r="D11" s="718">
        <f>huishoudens!C8</f>
        <v>0</v>
      </c>
      <c r="E11" s="718">
        <f>huishoudens!D8</f>
        <v>25205.723799937998</v>
      </c>
      <c r="F11" s="718">
        <f>huishoudens!E8</f>
        <v>134.16519804001459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444.54434735397689</v>
      </c>
      <c r="P11" s="718">
        <f>huishoudens!O8</f>
        <v>6.2533333333333339</v>
      </c>
      <c r="Q11" s="719">
        <f>huishoudens!P8</f>
        <v>19.066666666666666</v>
      </c>
      <c r="R11" s="721">
        <f>SUM(C11:Q11)</f>
        <v>32743.97000655724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24414.44340222</v>
      </c>
      <c r="D13" s="718">
        <f>industrie!C18</f>
        <v>0</v>
      </c>
      <c r="E13" s="718">
        <f>industrie!D18</f>
        <v>64485.61944423434</v>
      </c>
      <c r="F13" s="718">
        <f>industrie!E18</f>
        <v>1412.5786096446682</v>
      </c>
      <c r="G13" s="718">
        <f>industrie!F18</f>
        <v>5662.7794564570449</v>
      </c>
      <c r="H13" s="718">
        <f>industrie!G18</f>
        <v>0</v>
      </c>
      <c r="I13" s="718">
        <f>industrie!H18</f>
        <v>0</v>
      </c>
      <c r="J13" s="718">
        <f>industrie!I18</f>
        <v>0</v>
      </c>
      <c r="K13" s="718">
        <f>industrie!J18</f>
        <v>226.87037131043695</v>
      </c>
      <c r="L13" s="718">
        <f>industrie!K18</f>
        <v>0</v>
      </c>
      <c r="M13" s="718">
        <f>industrie!L18</f>
        <v>0</v>
      </c>
      <c r="N13" s="718">
        <f>industrie!M18</f>
        <v>0</v>
      </c>
      <c r="O13" s="718">
        <f>industrie!N18</f>
        <v>5939.745813815387</v>
      </c>
      <c r="P13" s="718">
        <f>industrie!O18</f>
        <v>0</v>
      </c>
      <c r="Q13" s="719">
        <f>industrie!P18</f>
        <v>0</v>
      </c>
      <c r="R13" s="721">
        <f>SUM(C13:Q13)</f>
        <v>102142.03709768188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52971.07285935925</v>
      </c>
      <c r="D15" s="723">
        <f t="shared" ref="D15:Q15" ca="1" si="0">SUM(D9:D14)</f>
        <v>0</v>
      </c>
      <c r="E15" s="723">
        <f t="shared" ca="1" si="0"/>
        <v>108364.39724481323</v>
      </c>
      <c r="F15" s="723">
        <f t="shared" si="0"/>
        <v>2071.3073093606636</v>
      </c>
      <c r="G15" s="723">
        <f t="shared" ca="1" si="0"/>
        <v>10781.000224848987</v>
      </c>
      <c r="H15" s="723">
        <f t="shared" si="0"/>
        <v>0</v>
      </c>
      <c r="I15" s="723">
        <f t="shared" si="0"/>
        <v>0</v>
      </c>
      <c r="J15" s="723">
        <f t="shared" si="0"/>
        <v>0</v>
      </c>
      <c r="K15" s="723">
        <f t="shared" si="0"/>
        <v>226.87037131043695</v>
      </c>
      <c r="L15" s="723">
        <f t="shared" si="0"/>
        <v>0</v>
      </c>
      <c r="M15" s="723">
        <f t="shared" ca="1" si="0"/>
        <v>0</v>
      </c>
      <c r="N15" s="723">
        <f t="shared" si="0"/>
        <v>0</v>
      </c>
      <c r="O15" s="723">
        <f t="shared" ca="1" si="0"/>
        <v>6791.6991100405985</v>
      </c>
      <c r="P15" s="723">
        <f t="shared" si="0"/>
        <v>6.2533333333333339</v>
      </c>
      <c r="Q15" s="724">
        <f t="shared" si="0"/>
        <v>19.066666666666666</v>
      </c>
      <c r="R15" s="725">
        <f ca="1">SUM(R9:R14)</f>
        <v>181231.66711973317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1322.0342142060872</v>
      </c>
      <c r="I18" s="718">
        <f>transport!H54</f>
        <v>0</v>
      </c>
      <c r="J18" s="718">
        <f>transport!I54</f>
        <v>0</v>
      </c>
      <c r="K18" s="718">
        <f>transport!J54</f>
        <v>0</v>
      </c>
      <c r="L18" s="718">
        <f>transport!K54</f>
        <v>0</v>
      </c>
      <c r="M18" s="718">
        <f>transport!L54</f>
        <v>0</v>
      </c>
      <c r="N18" s="718">
        <f>transport!M54</f>
        <v>41.006543693408901</v>
      </c>
      <c r="O18" s="718">
        <f>transport!N54</f>
        <v>0</v>
      </c>
      <c r="P18" s="718">
        <f>transport!O54</f>
        <v>0</v>
      </c>
      <c r="Q18" s="719">
        <f>transport!P54</f>
        <v>0</v>
      </c>
      <c r="R18" s="721">
        <f>SUM(C18:Q18)</f>
        <v>1363.0407578994962</v>
      </c>
      <c r="S18" s="67"/>
    </row>
    <row r="19" spans="1:19" s="474" customFormat="1" ht="15" thickBot="1">
      <c r="A19" s="870" t="s">
        <v>307</v>
      </c>
      <c r="B19" s="875"/>
      <c r="C19" s="727">
        <f>transport!B14</f>
        <v>20.582996328490221</v>
      </c>
      <c r="D19" s="727">
        <f>transport!C14</f>
        <v>0</v>
      </c>
      <c r="E19" s="727">
        <f>transport!D14</f>
        <v>48.427162011616957</v>
      </c>
      <c r="F19" s="727">
        <f>transport!E14</f>
        <v>210.38688300949241</v>
      </c>
      <c r="G19" s="727">
        <f>transport!F14</f>
        <v>0</v>
      </c>
      <c r="H19" s="727">
        <f>transport!G14</f>
        <v>57472.444668637392</v>
      </c>
      <c r="I19" s="727">
        <f>transport!H14</f>
        <v>13276.434218720322</v>
      </c>
      <c r="J19" s="727">
        <f>transport!I14</f>
        <v>0</v>
      </c>
      <c r="K19" s="727">
        <f>transport!J14</f>
        <v>0</v>
      </c>
      <c r="L19" s="727">
        <f>transport!K14</f>
        <v>0</v>
      </c>
      <c r="M19" s="727">
        <f>transport!L14</f>
        <v>0</v>
      </c>
      <c r="N19" s="727">
        <f>transport!M14</f>
        <v>2208.515026809453</v>
      </c>
      <c r="O19" s="727">
        <f>transport!N14</f>
        <v>0</v>
      </c>
      <c r="P19" s="727">
        <f>transport!O14</f>
        <v>0</v>
      </c>
      <c r="Q19" s="728">
        <f>transport!P14</f>
        <v>0</v>
      </c>
      <c r="R19" s="729">
        <f>SUM(C19:Q19)</f>
        <v>73236.790955516772</v>
      </c>
      <c r="S19" s="67"/>
    </row>
    <row r="20" spans="1:19" s="474" customFormat="1" ht="15.75" thickBot="1">
      <c r="A20" s="730" t="s">
        <v>230</v>
      </c>
      <c r="B20" s="878"/>
      <c r="C20" s="873">
        <f>SUM(C17:C19)</f>
        <v>20.582996328490221</v>
      </c>
      <c r="D20" s="731">
        <f t="shared" ref="D20:R20" si="1">SUM(D17:D19)</f>
        <v>0</v>
      </c>
      <c r="E20" s="731">
        <f t="shared" si="1"/>
        <v>48.427162011616957</v>
      </c>
      <c r="F20" s="731">
        <f t="shared" si="1"/>
        <v>210.38688300949241</v>
      </c>
      <c r="G20" s="731">
        <f t="shared" si="1"/>
        <v>0</v>
      </c>
      <c r="H20" s="731">
        <f t="shared" si="1"/>
        <v>58794.478882843483</v>
      </c>
      <c r="I20" s="731">
        <f t="shared" si="1"/>
        <v>13276.434218720322</v>
      </c>
      <c r="J20" s="731">
        <f t="shared" si="1"/>
        <v>0</v>
      </c>
      <c r="K20" s="731">
        <f t="shared" si="1"/>
        <v>0</v>
      </c>
      <c r="L20" s="731">
        <f t="shared" si="1"/>
        <v>0</v>
      </c>
      <c r="M20" s="731">
        <f t="shared" si="1"/>
        <v>0</v>
      </c>
      <c r="N20" s="731">
        <f t="shared" si="1"/>
        <v>2249.5215705028618</v>
      </c>
      <c r="O20" s="731">
        <f t="shared" si="1"/>
        <v>0</v>
      </c>
      <c r="P20" s="731">
        <f t="shared" si="1"/>
        <v>0</v>
      </c>
      <c r="Q20" s="732">
        <f t="shared" si="1"/>
        <v>0</v>
      </c>
      <c r="R20" s="733">
        <f t="shared" si="1"/>
        <v>74599.831713416264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6.6058989094000001E-2</v>
      </c>
      <c r="D22" s="727">
        <f>+landbouw!C8</f>
        <v>0</v>
      </c>
      <c r="E22" s="727">
        <f>+landbouw!D8</f>
        <v>3535.3443533091204</v>
      </c>
      <c r="F22" s="727">
        <f>+landbouw!E8</f>
        <v>1.7034076915403416E-3</v>
      </c>
      <c r="G22" s="727">
        <f>+landbouw!F8</f>
        <v>0.24145818546192682</v>
      </c>
      <c r="H22" s="727">
        <f>+landbouw!G8</f>
        <v>0</v>
      </c>
      <c r="I22" s="727">
        <f>+landbouw!H8</f>
        <v>0</v>
      </c>
      <c r="J22" s="727">
        <f>+landbouw!I8</f>
        <v>0</v>
      </c>
      <c r="K22" s="727">
        <f>+landbouw!J8</f>
        <v>9.5100643401575379E-3</v>
      </c>
      <c r="L22" s="727">
        <f>+landbouw!K8</f>
        <v>0</v>
      </c>
      <c r="M22" s="727">
        <f>+landbouw!L8</f>
        <v>0</v>
      </c>
      <c r="N22" s="727">
        <f>+landbouw!M8</f>
        <v>0</v>
      </c>
      <c r="O22" s="727">
        <f>+landbouw!N8</f>
        <v>0</v>
      </c>
      <c r="P22" s="727">
        <f>+landbouw!O8</f>
        <v>0</v>
      </c>
      <c r="Q22" s="728">
        <f>+landbouw!P8</f>
        <v>0</v>
      </c>
      <c r="R22" s="729">
        <f>SUM(C22:Q22)</f>
        <v>3535.6630839557079</v>
      </c>
      <c r="S22" s="67"/>
    </row>
    <row r="23" spans="1:19" s="474" customFormat="1" ht="17.25" thickTop="1" thickBot="1">
      <c r="A23" s="734" t="s">
        <v>116</v>
      </c>
      <c r="B23" s="864"/>
      <c r="C23" s="735">
        <f ca="1">C20+C15+C22</f>
        <v>52991.721914676833</v>
      </c>
      <c r="D23" s="735">
        <f t="shared" ref="D23:Q23" ca="1" si="2">D20+D15+D22</f>
        <v>0</v>
      </c>
      <c r="E23" s="735">
        <f t="shared" ca="1" si="2"/>
        <v>111948.16876013397</v>
      </c>
      <c r="F23" s="735">
        <f t="shared" si="2"/>
        <v>2281.6958957778475</v>
      </c>
      <c r="G23" s="735">
        <f t="shared" ca="1" si="2"/>
        <v>10781.24168303445</v>
      </c>
      <c r="H23" s="735">
        <f t="shared" si="2"/>
        <v>58794.478882843483</v>
      </c>
      <c r="I23" s="735">
        <f t="shared" si="2"/>
        <v>13276.434218720322</v>
      </c>
      <c r="J23" s="735">
        <f t="shared" si="2"/>
        <v>0</v>
      </c>
      <c r="K23" s="735">
        <f t="shared" si="2"/>
        <v>226.87988137477711</v>
      </c>
      <c r="L23" s="735">
        <f t="shared" si="2"/>
        <v>0</v>
      </c>
      <c r="M23" s="735">
        <f t="shared" ca="1" si="2"/>
        <v>0</v>
      </c>
      <c r="N23" s="735">
        <f t="shared" si="2"/>
        <v>2249.5215705028618</v>
      </c>
      <c r="O23" s="735">
        <f t="shared" ca="1" si="2"/>
        <v>6791.6991100405985</v>
      </c>
      <c r="P23" s="735">
        <f t="shared" si="2"/>
        <v>6.2533333333333339</v>
      </c>
      <c r="Q23" s="736">
        <f t="shared" si="2"/>
        <v>19.066666666666666</v>
      </c>
      <c r="R23" s="737">
        <f ca="1">R20+R15+R22</f>
        <v>259367.16191710514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4720.8955348155714</v>
      </c>
      <c r="D36" s="718">
        <f ca="1">tertiair!C20</f>
        <v>0</v>
      </c>
      <c r="E36" s="718">
        <f ca="1">tertiair!D20</f>
        <v>3771.956908129459</v>
      </c>
      <c r="F36" s="718">
        <f>tertiair!E20</f>
        <v>119.07591488044758</v>
      </c>
      <c r="G36" s="718">
        <f ca="1">tertiair!F20</f>
        <v>1366.5649451606489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9978.4933029861277</v>
      </c>
    </row>
    <row r="37" spans="1:18">
      <c r="A37" s="885" t="s">
        <v>225</v>
      </c>
      <c r="B37" s="892"/>
      <c r="C37" s="718">
        <f ca="1">huishoudens!B12</f>
        <v>1513.9713029439579</v>
      </c>
      <c r="D37" s="718">
        <f ca="1">huishoudens!C12</f>
        <v>0</v>
      </c>
      <c r="E37" s="718">
        <f>huishoudens!D12</f>
        <v>5091.5562075874759</v>
      </c>
      <c r="F37" s="718">
        <f>huishoudens!E12</f>
        <v>30.455499955083312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6635.9830104865177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5330.4891517161423</v>
      </c>
      <c r="D39" s="718">
        <f ca="1">industrie!C22</f>
        <v>0</v>
      </c>
      <c r="E39" s="718">
        <f>industrie!D22</f>
        <v>13026.095127735338</v>
      </c>
      <c r="F39" s="718">
        <f>industrie!E22</f>
        <v>320.65534438933969</v>
      </c>
      <c r="G39" s="718">
        <f>industrie!F22</f>
        <v>1511.9621148740312</v>
      </c>
      <c r="H39" s="718">
        <f>industrie!G22</f>
        <v>0</v>
      </c>
      <c r="I39" s="718">
        <f>industrie!H22</f>
        <v>0</v>
      </c>
      <c r="J39" s="718">
        <f>industrie!I22</f>
        <v>0</v>
      </c>
      <c r="K39" s="718">
        <f>industrie!J22</f>
        <v>80.312111443894679</v>
      </c>
      <c r="L39" s="718">
        <f>industrie!K22</f>
        <v>0</v>
      </c>
      <c r="M39" s="718">
        <f>industrie!L22</f>
        <v>0</v>
      </c>
      <c r="N39" s="718">
        <f>industrie!M22</f>
        <v>0</v>
      </c>
      <c r="O39" s="718">
        <f>industrie!N22</f>
        <v>0</v>
      </c>
      <c r="P39" s="718">
        <f>industrie!O22</f>
        <v>0</v>
      </c>
      <c r="Q39" s="828">
        <f>industrie!P22</f>
        <v>0</v>
      </c>
      <c r="R39" s="918">
        <f ca="1">SUM(C39:Q39)</f>
        <v>20269.513850158743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11565.355989475673</v>
      </c>
      <c r="D41" s="763">
        <f t="shared" ref="D41:R41" ca="1" si="4">SUM(D35:D40)</f>
        <v>0</v>
      </c>
      <c r="E41" s="763">
        <f t="shared" ca="1" si="4"/>
        <v>21889.608243452272</v>
      </c>
      <c r="F41" s="763">
        <f t="shared" si="4"/>
        <v>470.18675922487057</v>
      </c>
      <c r="G41" s="763">
        <f t="shared" ca="1" si="4"/>
        <v>2878.5270600346803</v>
      </c>
      <c r="H41" s="763">
        <f t="shared" si="4"/>
        <v>0</v>
      </c>
      <c r="I41" s="763">
        <f t="shared" si="4"/>
        <v>0</v>
      </c>
      <c r="J41" s="763">
        <f t="shared" si="4"/>
        <v>0</v>
      </c>
      <c r="K41" s="763">
        <f t="shared" si="4"/>
        <v>80.312111443894679</v>
      </c>
      <c r="L41" s="763">
        <f t="shared" si="4"/>
        <v>0</v>
      </c>
      <c r="M41" s="763">
        <f t="shared" ca="1" si="4"/>
        <v>0</v>
      </c>
      <c r="N41" s="763">
        <f t="shared" si="4"/>
        <v>0</v>
      </c>
      <c r="O41" s="763">
        <f t="shared" ca="1" si="4"/>
        <v>0</v>
      </c>
      <c r="P41" s="763">
        <f t="shared" si="4"/>
        <v>0</v>
      </c>
      <c r="Q41" s="764">
        <f t="shared" si="4"/>
        <v>0</v>
      </c>
      <c r="R41" s="765">
        <f t="shared" ca="1" si="4"/>
        <v>36883.990163631388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352.9831351930253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352.9831351930253</v>
      </c>
    </row>
    <row r="45" spans="1:18" ht="15" thickBot="1">
      <c r="A45" s="888" t="s">
        <v>307</v>
      </c>
      <c r="B45" s="898"/>
      <c r="C45" s="727">
        <f ca="1">transport!B18</f>
        <v>4.4939561730436068</v>
      </c>
      <c r="D45" s="727">
        <f>transport!C18</f>
        <v>0</v>
      </c>
      <c r="E45" s="727">
        <f>transport!D18</f>
        <v>9.7822867263466264</v>
      </c>
      <c r="F45" s="727">
        <f>transport!E18</f>
        <v>47.75782244315478</v>
      </c>
      <c r="G45" s="727">
        <f>transport!F18</f>
        <v>0</v>
      </c>
      <c r="H45" s="727">
        <f>transport!G18</f>
        <v>15345.142726526185</v>
      </c>
      <c r="I45" s="727">
        <f>transport!H18</f>
        <v>3305.8321204613603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18713.00891233009</v>
      </c>
    </row>
    <row r="46" spans="1:18" ht="15.75" thickBot="1">
      <c r="A46" s="886" t="s">
        <v>230</v>
      </c>
      <c r="B46" s="899"/>
      <c r="C46" s="763">
        <f t="shared" ref="C46:R46" ca="1" si="5">SUM(C43:C45)</f>
        <v>4.4939561730436068</v>
      </c>
      <c r="D46" s="763">
        <f t="shared" ca="1" si="5"/>
        <v>0</v>
      </c>
      <c r="E46" s="763">
        <f t="shared" si="5"/>
        <v>9.7822867263466264</v>
      </c>
      <c r="F46" s="763">
        <f t="shared" si="5"/>
        <v>47.75782244315478</v>
      </c>
      <c r="G46" s="763">
        <f t="shared" si="5"/>
        <v>0</v>
      </c>
      <c r="H46" s="763">
        <f t="shared" si="5"/>
        <v>15698.125861719211</v>
      </c>
      <c r="I46" s="763">
        <f t="shared" si="5"/>
        <v>3305.8321204613603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19065.992047523116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1.4422885622978535E-2</v>
      </c>
      <c r="D48" s="718">
        <f ca="1">+landbouw!C12</f>
        <v>0</v>
      </c>
      <c r="E48" s="718">
        <f>+landbouw!D12</f>
        <v>714.13955936844241</v>
      </c>
      <c r="F48" s="718">
        <f>+landbouw!E12</f>
        <v>3.8667354597965756E-4</v>
      </c>
      <c r="G48" s="718">
        <f>+landbouw!F12</f>
        <v>6.4469335518334461E-2</v>
      </c>
      <c r="H48" s="718">
        <f>+landbouw!G12</f>
        <v>0</v>
      </c>
      <c r="I48" s="718">
        <f>+landbouw!H12</f>
        <v>0</v>
      </c>
      <c r="J48" s="718">
        <f>+landbouw!I12</f>
        <v>0</v>
      </c>
      <c r="K48" s="718">
        <f>+landbouw!J12</f>
        <v>3.3665627764157681E-3</v>
      </c>
      <c r="L48" s="718">
        <f>+landbouw!K12</f>
        <v>0</v>
      </c>
      <c r="M48" s="718">
        <f>+landbouw!L12</f>
        <v>0</v>
      </c>
      <c r="N48" s="718">
        <f>+landbouw!M12</f>
        <v>0</v>
      </c>
      <c r="O48" s="718">
        <f>+landbouw!N12</f>
        <v>0</v>
      </c>
      <c r="P48" s="718">
        <f>+landbouw!O12</f>
        <v>0</v>
      </c>
      <c r="Q48" s="719">
        <f>+landbouw!P12</f>
        <v>0</v>
      </c>
      <c r="R48" s="761">
        <f ca="1">SUM(C48:Q48)</f>
        <v>714.22220482590603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11569.86436853434</v>
      </c>
      <c r="D53" s="773">
        <f t="shared" ref="D53:Q53" ca="1" si="6">D41+D46+D48</f>
        <v>0</v>
      </c>
      <c r="E53" s="773">
        <f t="shared" ca="1" si="6"/>
        <v>22613.530089547061</v>
      </c>
      <c r="F53" s="773">
        <f t="shared" si="6"/>
        <v>517.94496834157133</v>
      </c>
      <c r="G53" s="773">
        <f t="shared" ca="1" si="6"/>
        <v>2878.5915293701987</v>
      </c>
      <c r="H53" s="773">
        <f t="shared" si="6"/>
        <v>15698.125861719211</v>
      </c>
      <c r="I53" s="773">
        <f t="shared" si="6"/>
        <v>3305.8321204613603</v>
      </c>
      <c r="J53" s="773">
        <f t="shared" si="6"/>
        <v>0</v>
      </c>
      <c r="K53" s="773">
        <f t="shared" si="6"/>
        <v>80.3154780066711</v>
      </c>
      <c r="L53" s="773">
        <f t="shared" si="6"/>
        <v>0</v>
      </c>
      <c r="M53" s="773">
        <f t="shared" ca="1" si="6"/>
        <v>0</v>
      </c>
      <c r="N53" s="773">
        <f t="shared" si="6"/>
        <v>0</v>
      </c>
      <c r="O53" s="773">
        <f t="shared" ca="1" si="6"/>
        <v>0</v>
      </c>
      <c r="P53" s="773">
        <f>P41+P46+P48</f>
        <v>0</v>
      </c>
      <c r="Q53" s="774">
        <f t="shared" si="6"/>
        <v>0</v>
      </c>
      <c r="R53" s="775">
        <f ca="1">R41+R46+R48</f>
        <v>56664.204415980414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0.21833342926963648</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264.4378698224852</v>
      </c>
      <c r="C65" s="795">
        <f>'lokale energieproductie'!B5</f>
        <v>264.4378698224852</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374.95658542295928</v>
      </c>
      <c r="C66" s="795">
        <f>'lokale energieproductie'!B6</f>
        <v>374.95658542295928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639.39445524544453</v>
      </c>
      <c r="C69" s="803">
        <f>SUM(C64:C68)</f>
        <v>639.39445524544453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6934.2166612252504</v>
      </c>
      <c r="C4" s="478">
        <f>huishoudens!C8</f>
        <v>0</v>
      </c>
      <c r="D4" s="478">
        <f>huishoudens!D8</f>
        <v>25205.723799937998</v>
      </c>
      <c r="E4" s="478">
        <f>huishoudens!E8</f>
        <v>134.16519804001459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444.54434735397689</v>
      </c>
      <c r="O4" s="478">
        <f>huishoudens!O8</f>
        <v>6.2533333333333339</v>
      </c>
      <c r="P4" s="479">
        <f>huishoudens!P8</f>
        <v>19.066666666666666</v>
      </c>
      <c r="Q4" s="480">
        <f>SUM(B4:P4)</f>
        <v>32743.97000655724</v>
      </c>
    </row>
    <row r="5" spans="1:17">
      <c r="A5" s="477" t="s">
        <v>156</v>
      </c>
      <c r="B5" s="478">
        <f ca="1">tertiair!B16</f>
        <v>21336.943795914001</v>
      </c>
      <c r="C5" s="478">
        <f ca="1">tertiair!C16</f>
        <v>0</v>
      </c>
      <c r="D5" s="478">
        <f ca="1">tertiair!D16</f>
        <v>18673.054000640885</v>
      </c>
      <c r="E5" s="478">
        <f>tertiair!E16</f>
        <v>524.56350167598055</v>
      </c>
      <c r="F5" s="478">
        <f ca="1">tertiair!F16</f>
        <v>5118.2207683919432</v>
      </c>
      <c r="G5" s="478">
        <f>tertiair!G16</f>
        <v>0</v>
      </c>
      <c r="H5" s="478">
        <f>tertiair!H16</f>
        <v>0</v>
      </c>
      <c r="I5" s="478">
        <f>tertiair!I16</f>
        <v>0</v>
      </c>
      <c r="J5" s="478">
        <f>tertiair!J16</f>
        <v>0</v>
      </c>
      <c r="K5" s="478">
        <f>tertiair!K16</f>
        <v>0</v>
      </c>
      <c r="L5" s="478">
        <f ca="1">tertiair!L16</f>
        <v>0</v>
      </c>
      <c r="M5" s="478">
        <f>tertiair!M16</f>
        <v>0</v>
      </c>
      <c r="N5" s="478">
        <f ca="1">tertiair!N16</f>
        <v>407.40894887123443</v>
      </c>
      <c r="O5" s="478">
        <f>tertiair!O16</f>
        <v>0</v>
      </c>
      <c r="P5" s="479">
        <f>tertiair!P16</f>
        <v>0</v>
      </c>
      <c r="Q5" s="477">
        <f t="shared" ref="Q5:Q13" ca="1" si="0">SUM(B5:P5)</f>
        <v>46060.191015494041</v>
      </c>
    </row>
    <row r="6" spans="1:17">
      <c r="A6" s="477" t="s">
        <v>194</v>
      </c>
      <c r="B6" s="478">
        <f>'openbare verlichting'!B8</f>
        <v>285.46899999999999</v>
      </c>
      <c r="C6" s="478"/>
      <c r="D6" s="478"/>
      <c r="E6" s="478"/>
      <c r="F6" s="478"/>
      <c r="G6" s="478"/>
      <c r="H6" s="478"/>
      <c r="I6" s="478"/>
      <c r="J6" s="478"/>
      <c r="K6" s="478"/>
      <c r="L6" s="478"/>
      <c r="M6" s="478"/>
      <c r="N6" s="478"/>
      <c r="O6" s="478"/>
      <c r="P6" s="479"/>
      <c r="Q6" s="477">
        <f t="shared" si="0"/>
        <v>285.46899999999999</v>
      </c>
    </row>
    <row r="7" spans="1:17">
      <c r="A7" s="477" t="s">
        <v>112</v>
      </c>
      <c r="B7" s="478">
        <f>landbouw!B8</f>
        <v>6.6058989094000001E-2</v>
      </c>
      <c r="C7" s="478">
        <f>landbouw!C8</f>
        <v>0</v>
      </c>
      <c r="D7" s="478">
        <f>landbouw!D8</f>
        <v>3535.3443533091204</v>
      </c>
      <c r="E7" s="478">
        <f>landbouw!E8</f>
        <v>1.7034076915403416E-3</v>
      </c>
      <c r="F7" s="478">
        <f>landbouw!F8</f>
        <v>0.24145818546192682</v>
      </c>
      <c r="G7" s="478">
        <f>landbouw!G8</f>
        <v>0</v>
      </c>
      <c r="H7" s="478">
        <f>landbouw!H8</f>
        <v>0</v>
      </c>
      <c r="I7" s="478">
        <f>landbouw!I8</f>
        <v>0</v>
      </c>
      <c r="J7" s="478">
        <f>landbouw!J8</f>
        <v>9.5100643401575379E-3</v>
      </c>
      <c r="K7" s="478">
        <f>landbouw!K8</f>
        <v>0</v>
      </c>
      <c r="L7" s="478">
        <f>landbouw!L8</f>
        <v>0</v>
      </c>
      <c r="M7" s="478">
        <f>landbouw!M8</f>
        <v>0</v>
      </c>
      <c r="N7" s="478">
        <f>landbouw!N8</f>
        <v>0</v>
      </c>
      <c r="O7" s="478">
        <f>landbouw!O8</f>
        <v>0</v>
      </c>
      <c r="P7" s="479">
        <f>landbouw!P8</f>
        <v>0</v>
      </c>
      <c r="Q7" s="477">
        <f t="shared" si="0"/>
        <v>3535.6630839557079</v>
      </c>
    </row>
    <row r="8" spans="1:17">
      <c r="A8" s="477" t="s">
        <v>638</v>
      </c>
      <c r="B8" s="478">
        <f>industrie!B18</f>
        <v>24414.44340222</v>
      </c>
      <c r="C8" s="478">
        <f>industrie!C18</f>
        <v>0</v>
      </c>
      <c r="D8" s="478">
        <f>industrie!D18</f>
        <v>64485.61944423434</v>
      </c>
      <c r="E8" s="478">
        <f>industrie!E18</f>
        <v>1412.5786096446682</v>
      </c>
      <c r="F8" s="478">
        <f>industrie!F18</f>
        <v>5662.7794564570449</v>
      </c>
      <c r="G8" s="478">
        <f>industrie!G18</f>
        <v>0</v>
      </c>
      <c r="H8" s="478">
        <f>industrie!H18</f>
        <v>0</v>
      </c>
      <c r="I8" s="478">
        <f>industrie!I18</f>
        <v>0</v>
      </c>
      <c r="J8" s="478">
        <f>industrie!J18</f>
        <v>226.87037131043695</v>
      </c>
      <c r="K8" s="478">
        <f>industrie!K18</f>
        <v>0</v>
      </c>
      <c r="L8" s="478">
        <f>industrie!L18</f>
        <v>0</v>
      </c>
      <c r="M8" s="478">
        <f>industrie!M18</f>
        <v>0</v>
      </c>
      <c r="N8" s="478">
        <f>industrie!N18</f>
        <v>5939.745813815387</v>
      </c>
      <c r="O8" s="478">
        <f>industrie!O18</f>
        <v>0</v>
      </c>
      <c r="P8" s="479">
        <f>industrie!P18</f>
        <v>0</v>
      </c>
      <c r="Q8" s="477">
        <f t="shared" si="0"/>
        <v>102142.03709768188</v>
      </c>
    </row>
    <row r="9" spans="1:17" s="483" customFormat="1">
      <c r="A9" s="481" t="s">
        <v>564</v>
      </c>
      <c r="B9" s="482">
        <f>transport!B14</f>
        <v>20.582996328490221</v>
      </c>
      <c r="C9" s="482">
        <f>transport!C14</f>
        <v>0</v>
      </c>
      <c r="D9" s="482">
        <f>transport!D14</f>
        <v>48.427162011616957</v>
      </c>
      <c r="E9" s="482">
        <f>transport!E14</f>
        <v>210.38688300949241</v>
      </c>
      <c r="F9" s="482">
        <f>transport!F14</f>
        <v>0</v>
      </c>
      <c r="G9" s="482">
        <f>transport!G14</f>
        <v>57472.444668637392</v>
      </c>
      <c r="H9" s="482">
        <f>transport!H14</f>
        <v>13276.434218720322</v>
      </c>
      <c r="I9" s="482">
        <f>transport!I14</f>
        <v>0</v>
      </c>
      <c r="J9" s="482">
        <f>transport!J14</f>
        <v>0</v>
      </c>
      <c r="K9" s="482">
        <f>transport!K14</f>
        <v>0</v>
      </c>
      <c r="L9" s="482">
        <f>transport!L14</f>
        <v>0</v>
      </c>
      <c r="M9" s="482">
        <f>transport!M14</f>
        <v>2208.515026809453</v>
      </c>
      <c r="N9" s="482">
        <f>transport!N14</f>
        <v>0</v>
      </c>
      <c r="O9" s="482">
        <f>transport!O14</f>
        <v>0</v>
      </c>
      <c r="P9" s="482">
        <f>transport!P14</f>
        <v>0</v>
      </c>
      <c r="Q9" s="481">
        <f>SUM(B9:P9)</f>
        <v>73236.790955516772</v>
      </c>
    </row>
    <row r="10" spans="1:17">
      <c r="A10" s="477" t="s">
        <v>554</v>
      </c>
      <c r="B10" s="478">
        <f>transport!B54</f>
        <v>0</v>
      </c>
      <c r="C10" s="478">
        <f>transport!C54</f>
        <v>0</v>
      </c>
      <c r="D10" s="478">
        <f>transport!D54</f>
        <v>0</v>
      </c>
      <c r="E10" s="478">
        <f>transport!E54</f>
        <v>0</v>
      </c>
      <c r="F10" s="478">
        <f>transport!F54</f>
        <v>0</v>
      </c>
      <c r="G10" s="478">
        <f>transport!G54</f>
        <v>1322.0342142060872</v>
      </c>
      <c r="H10" s="478">
        <f>transport!H54</f>
        <v>0</v>
      </c>
      <c r="I10" s="478">
        <f>transport!I54</f>
        <v>0</v>
      </c>
      <c r="J10" s="478">
        <f>transport!J54</f>
        <v>0</v>
      </c>
      <c r="K10" s="478">
        <f>transport!K54</f>
        <v>0</v>
      </c>
      <c r="L10" s="478">
        <f>transport!L54</f>
        <v>0</v>
      </c>
      <c r="M10" s="478">
        <f>transport!M54</f>
        <v>41.006543693408901</v>
      </c>
      <c r="N10" s="478">
        <f>transport!N54</f>
        <v>0</v>
      </c>
      <c r="O10" s="478">
        <f>transport!O54</f>
        <v>0</v>
      </c>
      <c r="P10" s="479">
        <f>transport!P54</f>
        <v>0</v>
      </c>
      <c r="Q10" s="477">
        <f t="shared" si="0"/>
        <v>1363.0407578994962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52991.72191467684</v>
      </c>
      <c r="C14" s="488">
        <f t="shared" ref="C14:Q14" ca="1" si="1">SUM(C4:C13)</f>
        <v>0</v>
      </c>
      <c r="D14" s="488">
        <f t="shared" ca="1" si="1"/>
        <v>111948.16876013397</v>
      </c>
      <c r="E14" s="488">
        <f t="shared" si="1"/>
        <v>2281.6958957778475</v>
      </c>
      <c r="F14" s="488">
        <f t="shared" ca="1" si="1"/>
        <v>10781.24168303445</v>
      </c>
      <c r="G14" s="488">
        <f t="shared" si="1"/>
        <v>58794.478882843483</v>
      </c>
      <c r="H14" s="488">
        <f t="shared" si="1"/>
        <v>13276.434218720322</v>
      </c>
      <c r="I14" s="488">
        <f t="shared" si="1"/>
        <v>0</v>
      </c>
      <c r="J14" s="488">
        <f t="shared" si="1"/>
        <v>226.87988137477711</v>
      </c>
      <c r="K14" s="488">
        <f t="shared" si="1"/>
        <v>0</v>
      </c>
      <c r="L14" s="488">
        <f t="shared" ca="1" si="1"/>
        <v>0</v>
      </c>
      <c r="M14" s="488">
        <f t="shared" si="1"/>
        <v>2249.5215705028618</v>
      </c>
      <c r="N14" s="488">
        <f t="shared" ca="1" si="1"/>
        <v>6791.6991100405985</v>
      </c>
      <c r="O14" s="488">
        <f t="shared" si="1"/>
        <v>6.2533333333333339</v>
      </c>
      <c r="P14" s="489">
        <f t="shared" si="1"/>
        <v>19.066666666666666</v>
      </c>
      <c r="Q14" s="489">
        <f t="shared" ca="1" si="1"/>
        <v>259367.16191710514</v>
      </c>
    </row>
    <row r="16" spans="1:17">
      <c r="A16" s="491" t="s">
        <v>559</v>
      </c>
      <c r="B16" s="841">
        <f ca="1">huishoudens!B10</f>
        <v>0.21833342926963645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1513.9713029439579</v>
      </c>
      <c r="C21" s="478">
        <f t="shared" ref="C21:C30" ca="1" si="3">C4*$C$16</f>
        <v>0</v>
      </c>
      <c r="D21" s="478">
        <f t="shared" ref="D21:D30" si="4">D4*$D$16</f>
        <v>5091.5562075874759</v>
      </c>
      <c r="E21" s="478">
        <f t="shared" ref="E21:E30" si="5">E4*$E$16</f>
        <v>30.455499955083312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6635.9830104865177</v>
      </c>
    </row>
    <row r="22" spans="1:17">
      <c r="A22" s="477" t="s">
        <v>156</v>
      </c>
      <c r="B22" s="478">
        <f t="shared" ca="1" si="2"/>
        <v>4658.5681090953976</v>
      </c>
      <c r="C22" s="478">
        <f t="shared" ca="1" si="3"/>
        <v>0</v>
      </c>
      <c r="D22" s="478">
        <f t="shared" ca="1" si="4"/>
        <v>3771.956908129459</v>
      </c>
      <c r="E22" s="478">
        <f t="shared" si="5"/>
        <v>119.07591488044758</v>
      </c>
      <c r="F22" s="478">
        <f t="shared" ca="1" si="6"/>
        <v>1366.5649451606489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9916.1658772659539</v>
      </c>
    </row>
    <row r="23" spans="1:17">
      <c r="A23" s="477" t="s">
        <v>194</v>
      </c>
      <c r="B23" s="478">
        <f t="shared" ca="1" si="2"/>
        <v>62.327425720173849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62.327425720173849</v>
      </c>
    </row>
    <row r="24" spans="1:17">
      <c r="A24" s="477" t="s">
        <v>112</v>
      </c>
      <c r="B24" s="478">
        <f t="shared" ca="1" si="2"/>
        <v>1.4422885622978535E-2</v>
      </c>
      <c r="C24" s="478">
        <f t="shared" ca="1" si="3"/>
        <v>0</v>
      </c>
      <c r="D24" s="478">
        <f t="shared" si="4"/>
        <v>714.13955936844241</v>
      </c>
      <c r="E24" s="478">
        <f t="shared" si="5"/>
        <v>3.8667354597965756E-4</v>
      </c>
      <c r="F24" s="478">
        <f t="shared" si="6"/>
        <v>6.4469335518334461E-2</v>
      </c>
      <c r="G24" s="478">
        <f t="shared" si="7"/>
        <v>0</v>
      </c>
      <c r="H24" s="478">
        <f t="shared" si="8"/>
        <v>0</v>
      </c>
      <c r="I24" s="478">
        <f t="shared" si="9"/>
        <v>0</v>
      </c>
      <c r="J24" s="478">
        <f t="shared" si="10"/>
        <v>3.3665627764157681E-3</v>
      </c>
      <c r="K24" s="478">
        <f t="shared" si="11"/>
        <v>0</v>
      </c>
      <c r="L24" s="478">
        <f t="shared" si="12"/>
        <v>0</v>
      </c>
      <c r="M24" s="478">
        <f t="shared" si="13"/>
        <v>0</v>
      </c>
      <c r="N24" s="478">
        <f t="shared" si="14"/>
        <v>0</v>
      </c>
      <c r="O24" s="478">
        <f t="shared" si="15"/>
        <v>0</v>
      </c>
      <c r="P24" s="479">
        <f t="shared" si="16"/>
        <v>0</v>
      </c>
      <c r="Q24" s="477">
        <f t="shared" ca="1" si="17"/>
        <v>714.22220482590603</v>
      </c>
    </row>
    <row r="25" spans="1:17">
      <c r="A25" s="477" t="s">
        <v>638</v>
      </c>
      <c r="B25" s="478">
        <f t="shared" ca="1" si="2"/>
        <v>5330.4891517161423</v>
      </c>
      <c r="C25" s="478">
        <f t="shared" ca="1" si="3"/>
        <v>0</v>
      </c>
      <c r="D25" s="478">
        <f t="shared" si="4"/>
        <v>13026.095127735338</v>
      </c>
      <c r="E25" s="478">
        <f t="shared" si="5"/>
        <v>320.65534438933969</v>
      </c>
      <c r="F25" s="478">
        <f t="shared" si="6"/>
        <v>1511.9621148740312</v>
      </c>
      <c r="G25" s="478">
        <f t="shared" si="7"/>
        <v>0</v>
      </c>
      <c r="H25" s="478">
        <f t="shared" si="8"/>
        <v>0</v>
      </c>
      <c r="I25" s="478">
        <f t="shared" si="9"/>
        <v>0</v>
      </c>
      <c r="J25" s="478">
        <f t="shared" si="10"/>
        <v>80.312111443894679</v>
      </c>
      <c r="K25" s="478">
        <f t="shared" si="11"/>
        <v>0</v>
      </c>
      <c r="L25" s="478">
        <f t="shared" si="12"/>
        <v>0</v>
      </c>
      <c r="M25" s="478">
        <f t="shared" si="13"/>
        <v>0</v>
      </c>
      <c r="N25" s="478">
        <f t="shared" si="14"/>
        <v>0</v>
      </c>
      <c r="O25" s="478">
        <f t="shared" si="15"/>
        <v>0</v>
      </c>
      <c r="P25" s="479">
        <f t="shared" si="16"/>
        <v>0</v>
      </c>
      <c r="Q25" s="477">
        <f t="shared" ca="1" si="17"/>
        <v>20269.513850158743</v>
      </c>
    </row>
    <row r="26" spans="1:17" s="483" customFormat="1">
      <c r="A26" s="481" t="s">
        <v>564</v>
      </c>
      <c r="B26" s="835">
        <f t="shared" ca="1" si="2"/>
        <v>4.4939561730436068</v>
      </c>
      <c r="C26" s="482">
        <f t="shared" ca="1" si="3"/>
        <v>0</v>
      </c>
      <c r="D26" s="482">
        <f t="shared" si="4"/>
        <v>9.7822867263466264</v>
      </c>
      <c r="E26" s="482">
        <f t="shared" si="5"/>
        <v>47.75782244315478</v>
      </c>
      <c r="F26" s="482">
        <f t="shared" si="6"/>
        <v>0</v>
      </c>
      <c r="G26" s="482">
        <f t="shared" si="7"/>
        <v>15345.142726526185</v>
      </c>
      <c r="H26" s="482">
        <f t="shared" si="8"/>
        <v>3305.8321204613603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18713.00891233009</v>
      </c>
    </row>
    <row r="27" spans="1:17">
      <c r="A27" s="477" t="s">
        <v>554</v>
      </c>
      <c r="B27" s="478">
        <f t="shared" ca="1" si="2"/>
        <v>0</v>
      </c>
      <c r="C27" s="478">
        <f t="shared" ca="1" si="3"/>
        <v>0</v>
      </c>
      <c r="D27" s="478">
        <f t="shared" si="4"/>
        <v>0</v>
      </c>
      <c r="E27" s="478">
        <f t="shared" si="5"/>
        <v>0</v>
      </c>
      <c r="F27" s="478">
        <f t="shared" si="6"/>
        <v>0</v>
      </c>
      <c r="G27" s="478">
        <f t="shared" si="7"/>
        <v>352.9831351930253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352.9831351930253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11569.86436853434</v>
      </c>
      <c r="C31" s="488">
        <f t="shared" ca="1" si="18"/>
        <v>0</v>
      </c>
      <c r="D31" s="488">
        <f t="shared" ca="1" si="18"/>
        <v>22613.530089547061</v>
      </c>
      <c r="E31" s="488">
        <f t="shared" si="18"/>
        <v>517.94496834157133</v>
      </c>
      <c r="F31" s="488">
        <f t="shared" ca="1" si="18"/>
        <v>2878.5915293701983</v>
      </c>
      <c r="G31" s="488">
        <f t="shared" si="18"/>
        <v>15698.125861719211</v>
      </c>
      <c r="H31" s="488">
        <f t="shared" si="18"/>
        <v>3305.8321204613603</v>
      </c>
      <c r="I31" s="488">
        <f t="shared" si="18"/>
        <v>0</v>
      </c>
      <c r="J31" s="488">
        <f t="shared" si="18"/>
        <v>80.3154780066711</v>
      </c>
      <c r="K31" s="488">
        <f t="shared" si="18"/>
        <v>0</v>
      </c>
      <c r="L31" s="488">
        <f t="shared" ca="1" si="18"/>
        <v>0</v>
      </c>
      <c r="M31" s="488">
        <f t="shared" si="18"/>
        <v>0</v>
      </c>
      <c r="N31" s="488">
        <f t="shared" ca="1" si="18"/>
        <v>0</v>
      </c>
      <c r="O31" s="488">
        <f t="shared" si="18"/>
        <v>0</v>
      </c>
      <c r="P31" s="489">
        <f t="shared" si="18"/>
        <v>0</v>
      </c>
      <c r="Q31" s="489">
        <f t="shared" ca="1" si="18"/>
        <v>56664.204415980414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0.21833342926963645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0.21833342926963645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0.21833342926963645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2018-06-27T09:41:45Z</dcterms:modified>
</cp:coreProperties>
</file>