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<sst xmlns="http://schemas.openxmlformats.org/spreadsheetml/2006/main" count="1933" uniqueCount="825">
  <si>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</si>
  <si>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</si>
  <si>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</si>
  <si>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</si>
  <si>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</si>
  <si>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</si>
  <si>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</si>
  <si>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</si>
  <si>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</si>
  <si>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</si>
  <si>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</si>
  <si>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</si>
  <si>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</si>
  <si>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</si>
  <si>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</si>
  <si>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</si>
  <si>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</si>
  <si>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</si>
  <si>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</si>
  <si>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</si>
  <si>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</si>
  <si>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</si>
  <si>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</si>
  <si>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</si>
  <si>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</si>
  <si>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</si>
  <si>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</si>
  <si>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</si>
  <si>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</si>
  <si>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</si>
  <si>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</si>
  <si>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</si>
  <si>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</si>
  <si>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</si>
  <si>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</si>
  <si>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</si>
  <si>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</si>
  <si>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</si>
  <si>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</si>
  <si>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</si>
  <si>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</si>
  <si>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</si>
  <si>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</si>
  <si>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</si>
  <si>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</si>
  <si>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</si>
  <si>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</si>
  <si>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</si>
  <si>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</si>
  <si>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</si>
  <si>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</si>
  <si>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</si>
  <si>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</si>
  <si>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</si>
  <si>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</si>
  <si>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</si>
  <si>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</si>
  <si>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</si>
  <si>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</si>
  <si>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</si>
  <si>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</si>
  <si>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</si>
  <si>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</si>
  <si>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</si>
  <si>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</si>
  <si>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</si>
  <si>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</si>
  <si>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</si>
  <si>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</si>
  <si>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</si>
  <si>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</si>
  <si>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</si>
  <si>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</si>
  <si>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</si>
  <si>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</si>
  <si>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</si>
  <si>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</si>
  <si>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</si>
  <si>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</si>
  <si>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</si>
  <si>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</si>
  <si>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</si>
  <si>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</si>
  <si>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</si>
  <si>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</si>
  <si>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</si>
  <si>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</si>
  <si>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</si>
  <si>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</si>
  <si>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</si>
  <si>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</si>
  <si>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</si>
  <si>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</si>
  <si>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</si>
  <si>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</si>
  <si>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</si>
  <si>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</si>
  <si>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</si>
  <si>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</si>
  <si>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</si>
  <si>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</si>
  <si>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</si>
  <si>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</si>
  <si>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</si>
  <si>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</si>
  <si>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</si>
  <si>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</si>
  <si>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</si>
  <si>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</si>
  <si>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</si>
  <si>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</si>
  <si>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</si>
  <si>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</si>
  <si>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</si>
  <si>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</si>
  <si>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</si>
  <si>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</si>
  <si>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</si>
  <si>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</si>
  <si>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</si>
  <si>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</si>
  <si>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</si>
  <si>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</si>
  <si>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</si>
  <si>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</si>
  <si>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</si>
  <si>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</si>
  <si>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</si>
  <si>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</si>
  <si>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</si>
  <si>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</si>
  <si>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</si>
  <si>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</si>
  <si>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</si>
  <si>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</si>
  <si>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</si>
  <si>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</si>
  <si>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</si>
  <si>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</si>
  <si>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</si>
  <si>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</si>
  <si>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</si>
  <si>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</si>
  <si>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</si>
  <si>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</si>
  <si>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</si>
  <si>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</si>
  <si>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</si>
  <si>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</si>
  <si>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</si>
  <si>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</si>
  <si>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</si>
  <si>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</si>
  <si>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</si>
  <si>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</si>
  <si>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</si>
  <si>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</si>
  <si>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</si>
  <si>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</si>
  <si>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</si>
  <si>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</si>
  <si>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</si>
  <si>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</si>
  <si>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</si>
  <si>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</si>
  <si>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</si>
  <si>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</si>
  <si>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</si>
  <si>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</si>
  <si>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</si>
  <si>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</si>
  <si>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</si>
  <si>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</si>
  <si>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</si>
  <si>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</si>
  <si>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</si>
  <si>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</si>
  <si>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</si>
  <si>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</si>
  <si>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</si>
  <si>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</si>
  <si>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</si>
  <si>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</si>
  <si>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</si>
  <si>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</si>
  <si>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</si>
  <si>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</si>
  <si>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</si>
  <si>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</si>
  <si>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</si>
  <si>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</si>
  <si>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</si>
  <si>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</si>
  <si>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</si>
  <si>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</si>
  <si>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</si>
  <si>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</si>
  <si>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</si>
  <si>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</si>
  <si>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</si>
  <si>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</si>
  <si>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</si>
  <si>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</si>
  <si>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</si>
  <si>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</si>
  <si>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</si>
  <si>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</si>
  <si>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</si>
  <si>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</si>
  <si>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</si>
  <si>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</si>
  <si>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</si>
  <si>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</si>
  <si>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</si>
  <si>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</si>
  <si>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</si>
  <si>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</si>
  <si>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</si>
  <si>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</si>
  <si>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</si>
  <si>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</si>
  <si>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</si>
  <si>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</si>
  <si>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</si>
  <si>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</si>
  <si>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</si>
  <si>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</si>
  <si>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</si>
  <si>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</si>
  <si>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</si>
  <si>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</si>
  <si>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</si>
  <si>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</si>
  <si>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</si>
  <si>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</si>
  <si>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</si>
  <si>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</si>
  <si>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</si>
  <si>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</si>
  <si>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</si>
  <si>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</si>
  <si>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</si>
  <si>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</si>
  <si>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</si>
  <si>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</si>
  <si>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</si>
  <si>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</si>
  <si>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</si>
  <si>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</si>
  <si>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</si>
  <si>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</si>
  <si>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</si>
  <si>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</si>
  <si>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</si>
  <si>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</si>
  <si>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</si>
  <si>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</si>
  <si>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</si>
  <si>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</si>
  <si>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</si>
  <si>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</si>
  <si>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</si>
  <si>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</si>
  <si>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</si>
  <si>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</si>
  <si>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</si>
  <si>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</si>
  <si>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</si>
  <si>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</si>
  <si>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</si>
  <si>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</si>
  <si>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</si>
  <si>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</si>
  <si>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</si>
  <si>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</si>
  <si>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</si>
  <si>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</si>
  <si>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</si>
  <si>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</si>
  <si>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</si>
  <si>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</si>
  <si>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</si>
  <si>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</si>
  <si>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</si>
  <si>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</si>
  <si>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</si>
  <si>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</si>
  <si>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</si>
  <si>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</si>
  <si>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</si>
  <si>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</si>
  <si>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</si>
  <si>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</si>
  <si>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</si>
  <si>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</si>
  <si>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</si>
  <si>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</si>
  <si>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</si>
  <si>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</si>
  <si>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</si>
  <si>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</si>
  <si>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</si>
  <si>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</si>
  <si>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</si>
  <si>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</si>
  <si>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</si>
  <si>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</si>
  <si>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</si>
  <si>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</si>
  <si>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</si>
  <si>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</si>
  <si>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</si>
  <si>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</si>
  <si>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</si>
  <si>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</si>
  <si>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</si>
  <si>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</si>
  <si>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</si>
  <si>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</si>
  <si>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</si>
  <si>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</si>
  <si>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</si>
  <si>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</si>
  <si>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</si>
  <si>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</si>
  <si>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</si>
  <si>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</si>
  <si>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</si>
  <si>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</si>
  <si>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</si>
  <si>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</si>
  <si>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</si>
  <si>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</si>
  <si>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</si>
  <si>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</si>
  <si>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</si>
  <si>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</si>
  <si>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</si>
  <si>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</si>
  <si>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</si>
  <si>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</si>
  <si>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</si>
  <si>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</si>
  <si>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</si>
  <si>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</si>
  <si>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</si>
  <si>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</si>
  <si>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</si>
  <si>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</si>
  <si>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</si>
  <si>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</si>
  <si>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</si>
  <si>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</si>
  <si>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</si>
  <si>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</si>
  <si>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</si>
  <si>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</si>
  <si>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</si>
  <si>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</si>
  <si>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</si>
  <si>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</si>
  <si>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</si>
  <si>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</si>
  <si>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</si>
  <si>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</si>
  <si>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</si>
  <si>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</si>
  <si>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</si>
  <si>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</si>
  <si>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</si>
  <si>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</si>
  <si>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</si>
  <si>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</si>
  <si>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</si>
  <si>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</si>
  <si>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</si>
  <si>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</si>
  <si>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</si>
  <si>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</si>
  <si>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</si>
  <si>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</si>
  <si>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</si>
  <si>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</si>
  <si>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</si>
  <si>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</si>
  <si>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</si>
  <si>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</si>
  <si>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</si>
  <si>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</si>
  <si>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</si>
  <si>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</si>
  <si>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</si>
  <si>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</si>
  <si>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</si>
  <si>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</si>
  <si>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</si>
  <si>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</si>
  <si>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</si>
  <si>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</si>
  <si>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</si>
  <si>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</si>
  <si>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</si>
  <si>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</si>
  <si>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</si>
  <si>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</si>
  <si>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</si>
  <si>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</si>
  <si>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</si>
  <si>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</si>
  <si>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</si>
  <si>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</si>
  <si>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</si>
  <si>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</si>
  <si>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</si>
  <si>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</si>
  <si>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</si>
  <si>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</si>
  <si>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</si>
  <si>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</si>
  <si>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</si>
  <si>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</si>
  <si>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</si>
  <si>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</si>
  <si>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</si>
  <si>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</si>
  <si>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</si>
  <si>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</si>
  <si>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</si>
  <si>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</si>
  <si>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</si>
  <si>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</si>
  <si>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</si>
  <si>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</si>
  <si>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</si>
  <si>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</si>
  <si>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</si>
  <si>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</si>
  <si>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</si>
  <si>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</si>
  <si>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</si>
  <si>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</si>
  <si>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</si>
  <si>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</si>
  <si>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</si>
  <si>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</si>
  <si>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</si>
  <si>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</si>
  <si>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</si>
  <si>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</si>
  <si>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</si>
  <si>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</si>
  <si>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</si>
  <si>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</si>
  <si>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</si>
  <si>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</si>
  <si>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</si>
  <si>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</si>
  <si>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</si>
  <si>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</si>
  <si>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</si>
  <si>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</si>
  <si>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</si>
  <si>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</si>
  <si>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</si>
  <si>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</si>
  <si>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</si>
  <si>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</si>
  <si>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</si>
  <si>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</si>
  <si>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</si>
  <si>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</si>
  <si>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</si>
  <si>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</si>
  <si>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</si>
  <si>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</si>
  <si>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</si>
  <si>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</si>
  <si>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</si>
  <si>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</si>
  <si>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</si>
  <si>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</si>
  <si>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</si>
  <si>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</si>
  <si>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</si>
  <si>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</si>
  <si>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</si>
  <si>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</si>
  <si>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</si>
  <si>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</si>
  <si>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</si>
  <si>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</si>
  <si>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</si>
  <si>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</si>
  <si>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</si>
  <si>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</si>
  <si>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</si>
  <si>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</si>
  <si>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</si>
  <si>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</si>
  <si>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</si>
  <si>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</si>
  <si>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</si>
  <si>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</si>
  <si>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</si>
  <si>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</si>
  <si>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</si>
  <si>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</si>
  <si>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</si>
  <si>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</si>
  <si>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</si>
  <si>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</si>
  <si>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</si>
  <si>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</si>
  <si>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</si>
  <si>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</si>
  <si>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</si>
  <si>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</si>
  <si>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</si>
  <si>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</si>
  <si>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</si>
  <si>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</si>
  <si>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</si>
  <si>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</si>
  <si>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</si>
  <si>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</si>
  <si>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</si>
  <si>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</si>
  <si>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</si>
  <si>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</si>
  <si>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</si>
  <si>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</si>
  <si>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</si>
  <si>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</si>
  <si>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</si>
  <si>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</si>
  <si>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</si>
  <si>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</si>
  <si>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</si>
  <si>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</si>
  <si>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</si>
  <si>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</si>
  <si>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</si>
  <si>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</si>
  <si>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</si>
  <si>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</si>
  <si>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</si>
  <si>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</si>
  <si>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</si>
  <si>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</si>
  <si>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</si>
  <si>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</si>
  <si>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</si>
  <si>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</si>
  <si>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</si>
  <si>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</si>
  <si>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</si>
  <si>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</si>
  <si>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</si>
  <si>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</si>
  <si>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</si>
  <si>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</si>
  <si>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</si>
  <si>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</si>
  <si>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</si>
  <si>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</si>
  <si>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</si>
  <si>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</si>
  <si>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</si>
  <si>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</si>
  <si>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</si>
  <si>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</si>
  <si>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</si>
  <si>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</si>
  <si>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</si>
  <si>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</si>
  <si>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</si>
  <si>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</si>
  <si>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</si>
  <si>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</si>
  <si>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</si>
  <si>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</si>
  <si>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</si>
  <si>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</si>
  <si>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</si>
  <si>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</si>
  <si>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</si>
  <si>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</si>
  <si>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</si>
  <si>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</si>
  <si>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</si>
  <si>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</si>
  <si>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</si>
  <si>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</si>
  <si>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</si>
  <si>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</si>
  <si>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</si>
  <si>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</si>
  <si>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</si>
  <si>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</si>
  <si>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</si>
  <si>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</si>
  <si>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</si>
  <si>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</si>
  <si>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</si>
  <si>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</si>
  <si>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</si>
  <si>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</si>
  <si>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</si>
  <si>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</si>
  <si>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</si>
  <si>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</si>
  <si>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</si>
  <si>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</si>
  <si>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</si>
  <si>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</si>
  <si>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</si>
  <si>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</si>
  <si>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</si>
  <si>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</si>
  <si>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</si>
  <si>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</si>
  <si>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</si>
  <si>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</si>
  <si>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</si>
  <si>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</si>
  <si>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</si>
  <si>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</si>
  <si>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</si>
  <si>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</si>
  <si>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</si>
  <si>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</si>
  <si>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</si>
  <si>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</si>
  <si>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</si>
  <si>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</si>
  <si>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</si>
  <si>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</si>
  <si>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</si>
  <si>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</si>
  <si>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</si>
  <si>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</si>
  <si>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</si>
  <si>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</si>
  <si>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</si>
  <si>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</si>
  <si>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</si>
  <si>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</si>
  <si>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</si>
  <si>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</si>
  <si>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</si>
  <si>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</si>
  <si>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</si>
  <si>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</si>
  <si>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</si>
  <si>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</si>
  <si>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</si>
  <si>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</si>
  <si>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</si>
  <si>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</si>
  <si>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</si>
  <si>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</si>
  <si>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</si>
  <si>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</si>
  <si>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</si>
  <si>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</si>
  <si>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</si>
  <si>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</si>
  <si>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</si>
  <si>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</si>
  <si>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</si>
  <si>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</si>
  <si>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</si>
  <si>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</si>
  <si>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</si>
  <si>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</si>
  <si>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</si>
  <si>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</si>
  <si>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</si>
  <si>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</si>
  <si>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</si>
  <si>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</si>
  <si>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</si>
  <si>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</si>
  <si>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</si>
  <si>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</si>
  <si>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</si>
  <si>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</si>
  <si>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</si>
  <si>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</si>
  <si>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</si>
  <si>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</si>
  <si>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</si>
  <si>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</si>
  <si>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</si>
  <si>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</si>
  <si>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</si>
  <si>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</si>
  <si>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</si>
  <si>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</si>
  <si>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</si>
  <si>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</si>
  <si>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</si>
  <si>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</si>
  <si>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</si>
  <si>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</si>
  <si>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</si>
  <si>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</si>
  <si>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</si>
  <si>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</si>
  <si>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</si>
  <si>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</si>
  <si>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</si>
  <si>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</si>
  <si>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</si>
  <si>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</si>
  <si>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</si>
  <si>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</si>
  <si>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</si>
  <si>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</si>
  <si>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</si>
  <si>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</si>
  <si>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</si>
  <si>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</si>
  <si>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</si>
  <si>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</si>
  <si>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</si>
  <si>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</si>
  <si>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</si>
  <si>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</si>
  <si>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</si>
  <si>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</si>
  <si>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</si>
  <si>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</si>
  <si>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</si>
  <si>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</si>
  <si>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</si>
  <si>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</si>
  <si>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</si>
  <si>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</si>
  <si>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</si>
  <si>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</si>
  <si>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</si>
  <si>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</si>
  <si>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</si>
  <si>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</si>
  <si>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</si>
  <si>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</si>
  <si>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</si>
  <si>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</si>
  <si>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</si>
  <si>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</si>
  <si>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</si>
  <si>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</si>
  <si>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</si>
  <si>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</si>
  <si>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</si>
  <si>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</si>
  <si>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</si>
  <si>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</si>
  <si>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</si>
  <si>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</si>
  <si>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</si>
  <si>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</si>
  <si>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</si>
  <si>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</si>
  <si>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</si>
  <si>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</si>
  <si>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</si>
  <si>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</si>
  <si>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</si>
  <si>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</si>
  <si>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</si>
  <si>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</si>
  <si>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</si>
  <si>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</si>
  <si>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</si>
  <si>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</si>
  <si>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</si>
  <si>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</si>
  <si>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</si>
  <si>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</si>
  <si>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</si>
  <si>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</si>
  <si>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</si>
  <si>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</si>
  <si>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</si>
  <si>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</si>
  <si>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</si>
  <si>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</si>
  <si>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</si>
  <si>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</si>
  <si>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</si>
  <si>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</si>
  <si>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</si>
  <si>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</si>
  <si>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</si>
  <si>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</si>
  <si>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</si>
  <si>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</si>
  <si>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</si>
  <si>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</si>
  <si>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</si>
  <si>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</si>
  <si>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</si>
  <si>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</si>
  <si>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</si>
  <si>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</si>
  <si>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</si>
  <si>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</si>
  <si>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</si>
  <si>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23094</t>
  </si>
  <si>
    <t>ZAVENTEM</t>
  </si>
  <si>
    <t>Paarden&amp;pony's 200 - 600 kg</t>
  </si>
  <si>
    <t>Paarden&amp;pony's &lt; 200 kg</t>
  </si>
  <si>
    <t>referentietaak LNE (2017); Jaarverslag De Lijn (2015)</t>
  </si>
  <si>
    <t>op basis van VEA (maart 2018) en Inventaris Hernieuwbare Energiebronnen (juni 2018)</t>
  </si>
  <si>
    <t>VEA (januari 2017)</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</si>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</sst>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216028.59142512246</c:v>
                </c:pt>
                <c:pt idx="1">
                  <c:v>356674.79629220144</c:v>
                </c:pt>
                <c:pt idx="2">
                  <c:v>2822.0189999999998</c:v>
                </c:pt>
                <c:pt idx="3">
                  <c:v>15959.82034082202</c:v>
                </c:pt>
                <c:pt idx="4">
                  <c:v>93681.246605091743</c:v>
                </c:pt>
                <c:pt idx="5">
                  <c:v>552897.93761683686</c:v>
                </c:pt>
                <c:pt idx="6">
                  <c:v>9619.1072179730127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99776"/>
        <c:axId val="183101312"/>
      </c:barChart>
      <c:catAx>
        <c:axId val="183099776"/>
        <c:scaling>
          <c:orientation val="minMax"/>
        </c:scaling>
        <c:axPos val="b"/>
        <c:numFmt formatCode="General" sourceLinked="0"/>
        <c:tickLblPos val="nextTo"/>
        <c:crossAx val="183101312"/>
        <c:crosses val="autoZero"/>
        <c:auto val="1"/>
        <c:lblAlgn val="ctr"/>
        <c:lblOffset val="100"/>
      </c:catAx>
      <c:valAx>
        <c:axId val="183101312"/>
        <c:scaling>
          <c:orientation val="minMax"/>
        </c:scaling>
        <c:axPos val="l"/>
        <c:majorGridlines/>
        <c:numFmt formatCode="#,##0" sourceLinked="1"/>
        <c:tickLblPos val="nextTo"/>
        <c:crossAx val="183099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216028.59142512246</c:v>
                </c:pt>
                <c:pt idx="1">
                  <c:v>356674.79629220144</c:v>
                </c:pt>
                <c:pt idx="2">
                  <c:v>2822.0189999999998</c:v>
                </c:pt>
                <c:pt idx="3">
                  <c:v>15959.82034082202</c:v>
                </c:pt>
                <c:pt idx="4">
                  <c:v>93681.246605091743</c:v>
                </c:pt>
                <c:pt idx="5">
                  <c:v>552897.93761683686</c:v>
                </c:pt>
                <c:pt idx="6">
                  <c:v>9619.1072179730127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42822.489340939035</c:v>
                </c:pt>
                <c:pt idx="1">
                  <c:v>77290.045483632537</c:v>
                </c:pt>
                <c:pt idx="2">
                  <c:v>611.63559837158698</c:v>
                </c:pt>
                <c:pt idx="3">
                  <c:v>3425.0428349346798</c:v>
                </c:pt>
                <c:pt idx="4">
                  <c:v>19591.116659002084</c:v>
                </c:pt>
                <c:pt idx="5">
                  <c:v>141449.89034747158</c:v>
                </c:pt>
                <c:pt idx="6">
                  <c:v>2491.0352855408391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79296"/>
        <c:axId val="183583488"/>
      </c:barChart>
      <c:catAx>
        <c:axId val="183479296"/>
        <c:scaling>
          <c:orientation val="minMax"/>
        </c:scaling>
        <c:axPos val="b"/>
        <c:numFmt formatCode="General" sourceLinked="0"/>
        <c:tickLblPos val="nextTo"/>
        <c:crossAx val="183583488"/>
        <c:crosses val="autoZero"/>
        <c:auto val="1"/>
        <c:lblAlgn val="ctr"/>
        <c:lblOffset val="100"/>
      </c:catAx>
      <c:valAx>
        <c:axId val="183583488"/>
        <c:scaling>
          <c:orientation val="minMax"/>
        </c:scaling>
        <c:axPos val="l"/>
        <c:majorGridlines/>
        <c:numFmt formatCode="#,##0" sourceLinked="1"/>
        <c:tickLblPos val="nextTo"/>
        <c:crossAx val="18347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42822.489340939035</c:v>
                </c:pt>
                <c:pt idx="1">
                  <c:v>77290.045483632537</c:v>
                </c:pt>
                <c:pt idx="2">
                  <c:v>611.63559837158698</c:v>
                </c:pt>
                <c:pt idx="3">
                  <c:v>3425.0428349346798</c:v>
                </c:pt>
                <c:pt idx="4">
                  <c:v>19591.116659002084</c:v>
                </c:pt>
                <c:pt idx="5">
                  <c:v>141449.89034747158</c:v>
                </c:pt>
                <c:pt idx="6">
                  <c:v>2491.0352855408391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23094</v>
      </c>
      <c r="B6" s="415"/>
      <c r="C6" s="416"/>
    </row>
    <row r="7" spans="1:7" s="413" customFormat="1" ht="15.75" customHeight="1">
      <c r="A7" s="417" t="str">
        <f>txtMunicipality</f>
        <v>ZAVENTEM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191962.22973461001</v>
      </c>
      <c r="D10" s="718">
        <f ca="1">tertiair!C16</f>
        <v>1144.2857142857142</v>
      </c>
      <c r="E10" s="718">
        <f ca="1">tertiair!D16</f>
        <v>112225.67907595496</v>
      </c>
      <c r="F10" s="718">
        <f>tertiair!E16</f>
        <v>3350.3060335188356</v>
      </c>
      <c r="G10" s="718">
        <f ca="1">tertiair!F16</f>
        <v>47169.824768620922</v>
      </c>
      <c r="H10" s="718">
        <f>tertiair!G16</f>
        <v>0</v>
      </c>
      <c r="I10" s="718">
        <f>tertiair!H16</f>
        <v>0</v>
      </c>
      <c r="J10" s="718">
        <f>tertiair!I16</f>
        <v>0</v>
      </c>
      <c r="K10" s="718">
        <f>tertiair!J16</f>
        <v>0</v>
      </c>
      <c r="L10" s="718">
        <f>tertiair!K16</f>
        <v>0</v>
      </c>
      <c r="M10" s="718">
        <f ca="1">tertiair!L16</f>
        <v>0</v>
      </c>
      <c r="N10" s="718">
        <f>tertiair!M16</f>
        <v>0</v>
      </c>
      <c r="O10" s="718">
        <f ca="1">tertiair!N16</f>
        <v>3585.7266318775855</v>
      </c>
      <c r="P10" s="718">
        <f>tertiair!O16</f>
        <v>1.5633333333333335</v>
      </c>
      <c r="Q10" s="719">
        <f>tertiair!P16</f>
        <v>57.2</v>
      </c>
      <c r="R10" s="721">
        <f ca="1">SUM(C10:Q10)</f>
        <v>359496.81529220141</v>
      </c>
      <c r="S10" s="67"/>
    </row>
    <row r="11" spans="1:19" s="474" customFormat="1">
      <c r="A11" s="870" t="s">
        <v>225</v>
      </c>
      <c r="B11" s="875"/>
      <c r="C11" s="718">
        <f>huishoudens!B8</f>
        <v>49270.255897084549</v>
      </c>
      <c r="D11" s="718">
        <f>huishoudens!C8</f>
        <v>0</v>
      </c>
      <c r="E11" s="718">
        <f>huishoudens!D8</f>
        <v>155725.55084372003</v>
      </c>
      <c r="F11" s="718">
        <f>huishoudens!E8</f>
        <v>3027.5173704231056</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7466.9873138947951</v>
      </c>
      <c r="P11" s="718">
        <f>huishoudens!O8</f>
        <v>118.81333333333333</v>
      </c>
      <c r="Q11" s="719">
        <f>huishoudens!P8</f>
        <v>419.4666666666667</v>
      </c>
      <c r="R11" s="721">
        <f>SUM(C11:Q11)</f>
        <v>216028.59142512246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43047.059405509994</v>
      </c>
      <c r="D13" s="718">
        <f>industrie!C18</f>
        <v>0</v>
      </c>
      <c r="E13" s="718">
        <f>industrie!D18</f>
        <v>24534.55639086166</v>
      </c>
      <c r="F13" s="718">
        <f>industrie!E18</f>
        <v>2066.2202484596155</v>
      </c>
      <c r="G13" s="718">
        <f>industrie!F18</f>
        <v>17961.067659483615</v>
      </c>
      <c r="H13" s="718">
        <f>industrie!G18</f>
        <v>0</v>
      </c>
      <c r="I13" s="718">
        <f>industrie!H18</f>
        <v>0</v>
      </c>
      <c r="J13" s="718">
        <f>industrie!I18</f>
        <v>0</v>
      </c>
      <c r="K13" s="718">
        <f>industrie!J18</f>
        <v>114.72819605917545</v>
      </c>
      <c r="L13" s="718">
        <f>industrie!K18</f>
        <v>0</v>
      </c>
      <c r="M13" s="718">
        <f>industrie!L18</f>
        <v>0</v>
      </c>
      <c r="N13" s="718">
        <f>industrie!M18</f>
        <v>0</v>
      </c>
      <c r="O13" s="718">
        <f>industrie!N18</f>
        <v>5957.6147047176837</v>
      </c>
      <c r="P13" s="718">
        <f>industrie!O18</f>
        <v>0</v>
      </c>
      <c r="Q13" s="719">
        <f>industrie!P18</f>
        <v>0</v>
      </c>
      <c r="R13" s="721">
        <f>SUM(C13:Q13)</f>
        <v>93681.246605091743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284279.54503720452</v>
      </c>
      <c r="D15" s="723">
        <f t="shared" ref="D15:Q15" ca="1" si="0">SUM(D9:D14)</f>
        <v>1144.2857142857142</v>
      </c>
      <c r="E15" s="723">
        <f t="shared" ca="1" si="0"/>
        <v>292485.78631053667</v>
      </c>
      <c r="F15" s="723">
        <f t="shared" si="0"/>
        <v>8444.0436524015568</v>
      </c>
      <c r="G15" s="723">
        <f t="shared" ca="1" si="0"/>
        <v>65130.892428104533</v>
      </c>
      <c r="H15" s="723">
        <f t="shared" si="0"/>
        <v>0</v>
      </c>
      <c r="I15" s="723">
        <f t="shared" si="0"/>
        <v>0</v>
      </c>
      <c r="J15" s="723">
        <f t="shared" si="0"/>
        <v>0</v>
      </c>
      <c r="K15" s="723">
        <f t="shared" si="0"/>
        <v>114.72819605917545</v>
      </c>
      <c r="L15" s="723">
        <f t="shared" si="0"/>
        <v>0</v>
      </c>
      <c r="M15" s="723">
        <f t="shared" ca="1" si="0"/>
        <v>0</v>
      </c>
      <c r="N15" s="723">
        <f t="shared" si="0"/>
        <v>0</v>
      </c>
      <c r="O15" s="723">
        <f t="shared" ca="1" si="0"/>
        <v>17010.328650490064</v>
      </c>
      <c r="P15" s="723">
        <f t="shared" si="0"/>
        <v>120.37666666666667</v>
      </c>
      <c r="Q15" s="724">
        <f t="shared" si="0"/>
        <v>476.66666666666669</v>
      </c>
      <c r="R15" s="725">
        <f ca="1">SUM(R9:R14)</f>
        <v>669206.65332241566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9329.7201705649404</v>
      </c>
      <c r="I18" s="718">
        <f>transport!H54</f>
        <v>0</v>
      </c>
      <c r="J18" s="718">
        <f>transport!I54</f>
        <v>0</v>
      </c>
      <c r="K18" s="718">
        <f>transport!J54</f>
        <v>0</v>
      </c>
      <c r="L18" s="718">
        <f>transport!K54</f>
        <v>0</v>
      </c>
      <c r="M18" s="718">
        <f>transport!L54</f>
        <v>0</v>
      </c>
      <c r="N18" s="718">
        <f>transport!M54</f>
        <v>289.38704740807162</v>
      </c>
      <c r="O18" s="718">
        <f>transport!N54</f>
        <v>0</v>
      </c>
      <c r="P18" s="718">
        <f>transport!O54</f>
        <v>0</v>
      </c>
      <c r="Q18" s="719">
        <f>transport!P54</f>
        <v>0</v>
      </c>
      <c r="R18" s="721">
        <f>SUM(C18:Q18)</f>
        <v>9619.1072179730127</v>
      </c>
      <c r="S18" s="67"/>
    </row>
    <row r="19" spans="1:19" s="474" customFormat="1" ht="15" thickBot="1">
      <c r="A19" s="870" t="s">
        <v>307</v>
      </c>
      <c r="B19" s="875"/>
      <c r="C19" s="727">
        <f>transport!B14</f>
        <v>150.81708238953573</v>
      </c>
      <c r="D19" s="727">
        <f>transport!C14</f>
        <v>0</v>
      </c>
      <c r="E19" s="727">
        <f>transport!D14</f>
        <v>325.27511129744892</v>
      </c>
      <c r="F19" s="727">
        <f>transport!E14</f>
        <v>1497.1881209667133</v>
      </c>
      <c r="G19" s="727">
        <f>transport!F14</f>
        <v>0</v>
      </c>
      <c r="H19" s="727">
        <f>transport!G14</f>
        <v>443754.02587573079</v>
      </c>
      <c r="I19" s="727">
        <f>transport!H14</f>
        <v>90479.158789374807</v>
      </c>
      <c r="J19" s="727">
        <f>transport!I14</f>
        <v>0</v>
      </c>
      <c r="K19" s="727">
        <f>transport!J14</f>
        <v>0</v>
      </c>
      <c r="L19" s="727">
        <f>transport!K14</f>
        <v>0</v>
      </c>
      <c r="M19" s="727">
        <f>transport!L14</f>
        <v>0</v>
      </c>
      <c r="N19" s="727">
        <f>transport!M14</f>
        <v>16691.472637077513</v>
      </c>
      <c r="O19" s="727">
        <f>transport!N14</f>
        <v>0</v>
      </c>
      <c r="P19" s="727">
        <f>transport!O14</f>
        <v>0</v>
      </c>
      <c r="Q19" s="728">
        <f>transport!P14</f>
        <v>0</v>
      </c>
      <c r="R19" s="729">
        <f>SUM(C19:Q19)</f>
        <v>552897.93761683686</v>
      </c>
      <c r="S19" s="67"/>
    </row>
    <row r="20" spans="1:19" s="474" customFormat="1" ht="15.75" thickBot="1">
      <c r="A20" s="730" t="s">
        <v>230</v>
      </c>
      <c r="B20" s="878"/>
      <c r="C20" s="873">
        <f>SUM(C17:C19)</f>
        <v>150.81708238953573</v>
      </c>
      <c r="D20" s="731">
        <f t="shared" ref="D20:R20" si="1">SUM(D17:D19)</f>
        <v>0</v>
      </c>
      <c r="E20" s="731">
        <f t="shared" si="1"/>
        <v>325.27511129744892</v>
      </c>
      <c r="F20" s="731">
        <f t="shared" si="1"/>
        <v>1497.1881209667133</v>
      </c>
      <c r="G20" s="731">
        <f t="shared" si="1"/>
        <v>0</v>
      </c>
      <c r="H20" s="731">
        <f t="shared" si="1"/>
        <v>453083.74604629574</v>
      </c>
      <c r="I20" s="731">
        <f t="shared" si="1"/>
        <v>90479.158789374807</v>
      </c>
      <c r="J20" s="731">
        <f t="shared" si="1"/>
        <v>0</v>
      </c>
      <c r="K20" s="731">
        <f t="shared" si="1"/>
        <v>0</v>
      </c>
      <c r="L20" s="731">
        <f t="shared" si="1"/>
        <v>0</v>
      </c>
      <c r="M20" s="731">
        <f t="shared" si="1"/>
        <v>0</v>
      </c>
      <c r="N20" s="731">
        <f t="shared" si="1"/>
        <v>16980.859684485586</v>
      </c>
      <c r="O20" s="731">
        <f t="shared" si="1"/>
        <v>0</v>
      </c>
      <c r="P20" s="731">
        <f t="shared" si="1"/>
        <v>0</v>
      </c>
      <c r="Q20" s="732">
        <f t="shared" si="1"/>
        <v>0</v>
      </c>
      <c r="R20" s="733">
        <f t="shared" si="1"/>
        <v>562517.04483480984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731.88341970800002</v>
      </c>
      <c r="D22" s="727">
        <f>+landbouw!C8</f>
        <v>0</v>
      </c>
      <c r="E22" s="727">
        <f>+landbouw!D8</f>
        <v>12428.526889474299</v>
      </c>
      <c r="F22" s="727">
        <f>+landbouw!E8</f>
        <v>18.872463286827532</v>
      </c>
      <c r="G22" s="727">
        <f>+landbouw!F8</f>
        <v>2675.1732794593208</v>
      </c>
      <c r="H22" s="727">
        <f>+landbouw!G8</f>
        <v>0</v>
      </c>
      <c r="I22" s="727">
        <f>+landbouw!H8</f>
        <v>0</v>
      </c>
      <c r="J22" s="727">
        <f>+landbouw!I8</f>
        <v>0</v>
      </c>
      <c r="K22" s="727">
        <f>+landbouw!J8</f>
        <v>105.36428889357299</v>
      </c>
      <c r="L22" s="727">
        <f>+landbouw!K8</f>
        <v>0</v>
      </c>
      <c r="M22" s="727">
        <f>+landbouw!L8</f>
        <v>0</v>
      </c>
      <c r="N22" s="727">
        <f>+landbouw!M8</f>
        <v>0</v>
      </c>
      <c r="O22" s="727">
        <f>+landbouw!N8</f>
        <v>0</v>
      </c>
      <c r="P22" s="727">
        <f>+landbouw!O8</f>
        <v>0</v>
      </c>
      <c r="Q22" s="728">
        <f>+landbouw!P8</f>
        <v>0</v>
      </c>
      <c r="R22" s="729">
        <f>SUM(C22:Q22)</f>
        <v>15959.82034082202</v>
      </c>
      <c r="S22" s="67"/>
    </row>
    <row r="23" spans="1:19" s="474" customFormat="1" ht="17.25" thickTop="1" thickBot="1">
      <c r="A23" s="734" t="s">
        <v>116</v>
      </c>
      <c r="B23" s="864"/>
      <c r="C23" s="735">
        <f ca="1">C20+C15+C22</f>
        <v>285162.24553930206</v>
      </c>
      <c r="D23" s="735">
        <f t="shared" ref="D23:Q23" ca="1" si="2">D20+D15+D22</f>
        <v>1144.2857142857142</v>
      </c>
      <c r="E23" s="735">
        <f t="shared" ca="1" si="2"/>
        <v>305239.58831130841</v>
      </c>
      <c r="F23" s="735">
        <f t="shared" si="2"/>
        <v>9960.1042366550973</v>
      </c>
      <c r="G23" s="735">
        <f t="shared" ca="1" si="2"/>
        <v>67806.065707563859</v>
      </c>
      <c r="H23" s="735">
        <f t="shared" si="2"/>
        <v>453083.74604629574</v>
      </c>
      <c r="I23" s="735">
        <f t="shared" si="2"/>
        <v>90479.158789374807</v>
      </c>
      <c r="J23" s="735">
        <f t="shared" si="2"/>
        <v>0</v>
      </c>
      <c r="K23" s="735">
        <f t="shared" si="2"/>
        <v>220.09248495274844</v>
      </c>
      <c r="L23" s="735">
        <f t="shared" si="2"/>
        <v>0</v>
      </c>
      <c r="M23" s="735">
        <f t="shared" ca="1" si="2"/>
        <v>0</v>
      </c>
      <c r="N23" s="735">
        <f t="shared" si="2"/>
        <v>16980.859684485586</v>
      </c>
      <c r="O23" s="735">
        <f t="shared" ca="1" si="2"/>
        <v>17010.328650490064</v>
      </c>
      <c r="P23" s="735">
        <f t="shared" si="2"/>
        <v>120.37666666666667</v>
      </c>
      <c r="Q23" s="736">
        <f t="shared" si="2"/>
        <v>476.66666666666669</v>
      </c>
      <c r="R23" s="737">
        <f ca="1">R20+R15+R22</f>
        <v>1247683.5184980475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41605.295091376858</v>
      </c>
      <c r="D36" s="718">
        <f ca="1">tertiair!C20</f>
        <v>271.93613445378156</v>
      </c>
      <c r="E36" s="718">
        <f ca="1">tertiair!D20</f>
        <v>22669.587173342905</v>
      </c>
      <c r="F36" s="718">
        <f>tertiair!E20</f>
        <v>760.51946960877569</v>
      </c>
      <c r="G36" s="718">
        <f ca="1">tertiair!F20</f>
        <v>12594.343213221788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77901.681082004114</v>
      </c>
    </row>
    <row r="37" spans="1:18">
      <c r="A37" s="885" t="s">
        <v>225</v>
      </c>
      <c r="B37" s="892"/>
      <c r="C37" s="718">
        <f ca="1">huishoudens!B12</f>
        <v>10678.681627421545</v>
      </c>
      <c r="D37" s="718">
        <f ca="1">huishoudens!C12</f>
        <v>0</v>
      </c>
      <c r="E37" s="718">
        <f>huishoudens!D12</f>
        <v>31456.561270431448</v>
      </c>
      <c r="F37" s="718">
        <f>huishoudens!E12</f>
        <v>687.24644308604502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42822.489340939035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9329.8854251606226</v>
      </c>
      <c r="D39" s="718">
        <f ca="1">industrie!C22</f>
        <v>0</v>
      </c>
      <c r="E39" s="718">
        <f>industrie!D22</f>
        <v>4955.980390954056</v>
      </c>
      <c r="F39" s="718">
        <f>industrie!E22</f>
        <v>469.03199640033273</v>
      </c>
      <c r="G39" s="718">
        <f>industrie!F22</f>
        <v>4795.6050650821253</v>
      </c>
      <c r="H39" s="718">
        <f>industrie!G22</f>
        <v>0</v>
      </c>
      <c r="I39" s="718">
        <f>industrie!H22</f>
        <v>0</v>
      </c>
      <c r="J39" s="718">
        <f>industrie!I22</f>
        <v>0</v>
      </c>
      <c r="K39" s="718">
        <f>industrie!J22</f>
        <v>40.613781404948107</v>
      </c>
      <c r="L39" s="718">
        <f>industrie!K22</f>
        <v>0</v>
      </c>
      <c r="M39" s="718">
        <f>industrie!L22</f>
        <v>0</v>
      </c>
      <c r="N39" s="718">
        <f>industrie!M22</f>
        <v>0</v>
      </c>
      <c r="O39" s="718">
        <f>industrie!N22</f>
        <v>0</v>
      </c>
      <c r="P39" s="718">
        <f>industrie!O22</f>
        <v>0</v>
      </c>
      <c r="Q39" s="828">
        <f>industrie!P22</f>
        <v>0</v>
      </c>
      <c r="R39" s="918">
        <f ca="1">SUM(C39:Q39)</f>
        <v>19591.116659002084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61613.862143959028</v>
      </c>
      <c r="D41" s="763">
        <f t="shared" ref="D41:R41" ca="1" si="4">SUM(D35:D40)</f>
        <v>271.93613445378156</v>
      </c>
      <c r="E41" s="763">
        <f t="shared" ca="1" si="4"/>
        <v>59082.128834728406</v>
      </c>
      <c r="F41" s="763">
        <f t="shared" si="4"/>
        <v>1916.7979090951533</v>
      </c>
      <c r="G41" s="763">
        <f t="shared" ca="1" si="4"/>
        <v>17389.948278303913</v>
      </c>
      <c r="H41" s="763">
        <f t="shared" si="4"/>
        <v>0</v>
      </c>
      <c r="I41" s="763">
        <f t="shared" si="4"/>
        <v>0</v>
      </c>
      <c r="J41" s="763">
        <f t="shared" si="4"/>
        <v>0</v>
      </c>
      <c r="K41" s="763">
        <f t="shared" si="4"/>
        <v>40.613781404948107</v>
      </c>
      <c r="L41" s="763">
        <f t="shared" si="4"/>
        <v>0</v>
      </c>
      <c r="M41" s="763">
        <f t="shared" ca="1" si="4"/>
        <v>0</v>
      </c>
      <c r="N41" s="763">
        <f t="shared" si="4"/>
        <v>0</v>
      </c>
      <c r="O41" s="763">
        <f t="shared" ca="1" si="4"/>
        <v>0</v>
      </c>
      <c r="P41" s="763">
        <f t="shared" si="4"/>
        <v>0</v>
      </c>
      <c r="Q41" s="764">
        <f t="shared" si="4"/>
        <v>0</v>
      </c>
      <c r="R41" s="765">
        <f t="shared" ca="1" si="4"/>
        <v>140315.28708194522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2491.0352855408391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2491.0352855408391</v>
      </c>
    </row>
    <row r="45" spans="1:18" ht="15" thickBot="1">
      <c r="A45" s="888" t="s">
        <v>307</v>
      </c>
      <c r="B45" s="898"/>
      <c r="C45" s="727">
        <f ca="1">transport!B18</f>
        <v>32.687624155606542</v>
      </c>
      <c r="D45" s="727">
        <f>transport!C18</f>
        <v>0</v>
      </c>
      <c r="E45" s="727">
        <f>transport!D18</f>
        <v>65.70557248208469</v>
      </c>
      <c r="F45" s="727">
        <f>transport!E18</f>
        <v>339.86170345944396</v>
      </c>
      <c r="G45" s="727">
        <f>transport!F18</f>
        <v>0</v>
      </c>
      <c r="H45" s="727">
        <f>transport!G18</f>
        <v>118482.32490882013</v>
      </c>
      <c r="I45" s="727">
        <f>transport!H18</f>
        <v>22529.310538554328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141449.89034747158</v>
      </c>
    </row>
    <row r="46" spans="1:18" ht="15.75" thickBot="1">
      <c r="A46" s="886" t="s">
        <v>230</v>
      </c>
      <c r="B46" s="899"/>
      <c r="C46" s="763">
        <f t="shared" ref="C46:R46" ca="1" si="5">SUM(C43:C45)</f>
        <v>32.687624155606542</v>
      </c>
      <c r="D46" s="763">
        <f t="shared" ca="1" si="5"/>
        <v>0</v>
      </c>
      <c r="E46" s="763">
        <f t="shared" si="5"/>
        <v>65.70557248208469</v>
      </c>
      <c r="F46" s="763">
        <f t="shared" si="5"/>
        <v>339.86170345944396</v>
      </c>
      <c r="G46" s="763">
        <f t="shared" si="5"/>
        <v>0</v>
      </c>
      <c r="H46" s="763">
        <f t="shared" si="5"/>
        <v>120973.36019436097</v>
      </c>
      <c r="I46" s="763">
        <f t="shared" si="5"/>
        <v>22529.310538554328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143940.9256330124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158.62613021079798</v>
      </c>
      <c r="D48" s="718">
        <f ca="1">+landbouw!C12</f>
        <v>0</v>
      </c>
      <c r="E48" s="718">
        <f>+landbouw!D12</f>
        <v>2510.5624316738085</v>
      </c>
      <c r="F48" s="718">
        <f>+landbouw!E12</f>
        <v>4.2840491661098499</v>
      </c>
      <c r="G48" s="718">
        <f>+landbouw!F12</f>
        <v>714.27126561563875</v>
      </c>
      <c r="H48" s="718">
        <f>+landbouw!G12</f>
        <v>0</v>
      </c>
      <c r="I48" s="718">
        <f>+landbouw!H12</f>
        <v>0</v>
      </c>
      <c r="J48" s="718">
        <f>+landbouw!I12</f>
        <v>0</v>
      </c>
      <c r="K48" s="718">
        <f>+landbouw!J12</f>
        <v>37.298958268324839</v>
      </c>
      <c r="L48" s="718">
        <f>+landbouw!K12</f>
        <v>0</v>
      </c>
      <c r="M48" s="718">
        <f>+landbouw!L12</f>
        <v>0</v>
      </c>
      <c r="N48" s="718">
        <f>+landbouw!M12</f>
        <v>0</v>
      </c>
      <c r="O48" s="718">
        <f>+landbouw!N12</f>
        <v>0</v>
      </c>
      <c r="P48" s="718">
        <f>+landbouw!O12</f>
        <v>0</v>
      </c>
      <c r="Q48" s="719">
        <f>+landbouw!P12</f>
        <v>0</v>
      </c>
      <c r="R48" s="761">
        <f ca="1">SUM(C48:Q48)</f>
        <v>3425.0428349346798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61805.175898325433</v>
      </c>
      <c r="D53" s="773">
        <f t="shared" ref="D53:Q53" ca="1" si="6">D41+D46+D48</f>
        <v>271.93613445378156</v>
      </c>
      <c r="E53" s="773">
        <f t="shared" ca="1" si="6"/>
        <v>61658.396838884299</v>
      </c>
      <c r="F53" s="773">
        <f t="shared" si="6"/>
        <v>2260.943661720707</v>
      </c>
      <c r="G53" s="773">
        <f t="shared" ca="1" si="6"/>
        <v>18104.219543919553</v>
      </c>
      <c r="H53" s="773">
        <f t="shared" si="6"/>
        <v>120973.36019436097</v>
      </c>
      <c r="I53" s="773">
        <f t="shared" si="6"/>
        <v>22529.310538554328</v>
      </c>
      <c r="J53" s="773">
        <f t="shared" si="6"/>
        <v>0</v>
      </c>
      <c r="K53" s="773">
        <f t="shared" si="6"/>
        <v>77.912739673272938</v>
      </c>
      <c r="L53" s="773">
        <f t="shared" si="6"/>
        <v>0</v>
      </c>
      <c r="M53" s="773">
        <f t="shared" ca="1" si="6"/>
        <v>0</v>
      </c>
      <c r="N53" s="773">
        <f t="shared" si="6"/>
        <v>0</v>
      </c>
      <c r="O53" s="773">
        <f t="shared" ca="1" si="6"/>
        <v>0</v>
      </c>
      <c r="P53" s="773">
        <f>P41+P46+P48</f>
        <v>0</v>
      </c>
      <c r="Q53" s="774">
        <f t="shared" si="6"/>
        <v>0</v>
      </c>
      <c r="R53" s="775">
        <f ca="1">R41+R46+R48</f>
        <v>287681.25554989232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0.21673688177563191</v>
      </c>
      <c r="D55" s="836">
        <f t="shared" ca="1" si="7"/>
        <v>0.23764705882352946</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5561.1523075926216</v>
      </c>
      <c r="C66" s="795">
        <f>'lokale energieproductie'!B6</f>
        <v>5561.1523075926216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801</v>
      </c>
      <c r="C67" s="794">
        <f>B67*IFERROR(SUM(J67:L67)/SUM(D67:M67),0)</f>
        <v>0</v>
      </c>
      <c r="D67" s="826">
        <f>'lokale energieproductie'!C7</f>
        <v>942.35294117647084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190.35529411764713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6362.1523075926216</v>
      </c>
      <c r="C69" s="803">
        <f>SUM(C64:C68)</f>
        <v>5561.1523075926216</v>
      </c>
      <c r="D69" s="804">
        <f t="shared" ref="D69:M69" si="8">SUM(D67:D68)</f>
        <v>942.35294117647084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190.35529411764713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1144.2857142857142</v>
      </c>
      <c r="C78" s="817">
        <f>B78*IFERROR(SUM(I78:L78)/SUM(D78:M78),0)</f>
        <v>0</v>
      </c>
      <c r="D78" s="832">
        <f>'lokale energieproductie'!C16</f>
        <v>1346.2184873949582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271.93613445378156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1144.2857142857142</v>
      </c>
      <c r="C81" s="803">
        <f>SUM(C78:C80)</f>
        <v>0</v>
      </c>
      <c r="D81" s="803">
        <f t="shared" ref="D81:P81" si="9">SUM(D78:D80)</f>
        <v>1346.2184873949582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271.93613445378156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49270.255897084549</v>
      </c>
      <c r="C4" s="478">
        <f>huishoudens!C8</f>
        <v>0</v>
      </c>
      <c r="D4" s="478">
        <f>huishoudens!D8</f>
        <v>155725.55084372003</v>
      </c>
      <c r="E4" s="478">
        <f>huishoudens!E8</f>
        <v>3027.5173704231056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7466.9873138947951</v>
      </c>
      <c r="O4" s="478">
        <f>huishoudens!O8</f>
        <v>118.81333333333333</v>
      </c>
      <c r="P4" s="479">
        <f>huishoudens!P8</f>
        <v>419.4666666666667</v>
      </c>
      <c r="Q4" s="480">
        <f>SUM(B4:P4)</f>
        <v>216028.59142512246</v>
      </c>
    </row>
    <row r="5" spans="1:17">
      <c r="A5" s="477" t="s">
        <v>156</v>
      </c>
      <c r="B5" s="478">
        <f ca="1">tertiair!B16</f>
        <v>189140.21073461001</v>
      </c>
      <c r="C5" s="478">
        <f ca="1">tertiair!C16</f>
        <v>1144.2857142857142</v>
      </c>
      <c r="D5" s="478">
        <f ca="1">tertiair!D16</f>
        <v>112225.67907595496</v>
      </c>
      <c r="E5" s="478">
        <f>tertiair!E16</f>
        <v>3350.3060335188356</v>
      </c>
      <c r="F5" s="478">
        <f ca="1">tertiair!F16</f>
        <v>47169.824768620922</v>
      </c>
      <c r="G5" s="478">
        <f>tertiair!G16</f>
        <v>0</v>
      </c>
      <c r="H5" s="478">
        <f>tertiair!H16</f>
        <v>0</v>
      </c>
      <c r="I5" s="478">
        <f>tertiair!I16</f>
        <v>0</v>
      </c>
      <c r="J5" s="478">
        <f>tertiair!J16</f>
        <v>0</v>
      </c>
      <c r="K5" s="478">
        <f>tertiair!K16</f>
        <v>0</v>
      </c>
      <c r="L5" s="478">
        <f ca="1">tertiair!L16</f>
        <v>0</v>
      </c>
      <c r="M5" s="478">
        <f>tertiair!M16</f>
        <v>0</v>
      </c>
      <c r="N5" s="478">
        <f ca="1">tertiair!N16</f>
        <v>3585.7266318775855</v>
      </c>
      <c r="O5" s="478">
        <f>tertiair!O16</f>
        <v>1.5633333333333335</v>
      </c>
      <c r="P5" s="479">
        <f>tertiair!P16</f>
        <v>57.2</v>
      </c>
      <c r="Q5" s="477">
        <f t="shared" ref="Q5:Q13" ca="1" si="0">SUM(B5:P5)</f>
        <v>356674.79629220144</v>
      </c>
    </row>
    <row r="6" spans="1:17">
      <c r="A6" s="477" t="s">
        <v>194</v>
      </c>
      <c r="B6" s="478">
        <f>'openbare verlichting'!B8</f>
        <v>2822.0189999999998</v>
      </c>
      <c r="C6" s="478"/>
      <c r="D6" s="478"/>
      <c r="E6" s="478"/>
      <c r="F6" s="478"/>
      <c r="G6" s="478"/>
      <c r="H6" s="478"/>
      <c r="I6" s="478"/>
      <c r="J6" s="478"/>
      <c r="K6" s="478"/>
      <c r="L6" s="478"/>
      <c r="M6" s="478"/>
      <c r="N6" s="478"/>
      <c r="O6" s="478"/>
      <c r="P6" s="479"/>
      <c r="Q6" s="477">
        <f t="shared" si="0"/>
        <v>2822.0189999999998</v>
      </c>
    </row>
    <row r="7" spans="1:17">
      <c r="A7" s="477" t="s">
        <v>112</v>
      </c>
      <c r="B7" s="478">
        <f>landbouw!B8</f>
        <v>731.88341970800002</v>
      </c>
      <c r="C7" s="478">
        <f>landbouw!C8</f>
        <v>0</v>
      </c>
      <c r="D7" s="478">
        <f>landbouw!D8</f>
        <v>12428.526889474299</v>
      </c>
      <c r="E7" s="478">
        <f>landbouw!E8</f>
        <v>18.872463286827532</v>
      </c>
      <c r="F7" s="478">
        <f>landbouw!F8</f>
        <v>2675.1732794593208</v>
      </c>
      <c r="G7" s="478">
        <f>landbouw!G8</f>
        <v>0</v>
      </c>
      <c r="H7" s="478">
        <f>landbouw!H8</f>
        <v>0</v>
      </c>
      <c r="I7" s="478">
        <f>landbouw!I8</f>
        <v>0</v>
      </c>
      <c r="J7" s="478">
        <f>landbouw!J8</f>
        <v>105.36428889357299</v>
      </c>
      <c r="K7" s="478">
        <f>landbouw!K8</f>
        <v>0</v>
      </c>
      <c r="L7" s="478">
        <f>landbouw!L8</f>
        <v>0</v>
      </c>
      <c r="M7" s="478">
        <f>landbouw!M8</f>
        <v>0</v>
      </c>
      <c r="N7" s="478">
        <f>landbouw!N8</f>
        <v>0</v>
      </c>
      <c r="O7" s="478">
        <f>landbouw!O8</f>
        <v>0</v>
      </c>
      <c r="P7" s="479">
        <f>landbouw!P8</f>
        <v>0</v>
      </c>
      <c r="Q7" s="477">
        <f t="shared" si="0"/>
        <v>15959.82034082202</v>
      </c>
    </row>
    <row r="8" spans="1:17">
      <c r="A8" s="477" t="s">
        <v>638</v>
      </c>
      <c r="B8" s="478">
        <f>industrie!B18</f>
        <v>43047.059405509994</v>
      </c>
      <c r="C8" s="478">
        <f>industrie!C18</f>
        <v>0</v>
      </c>
      <c r="D8" s="478">
        <f>industrie!D18</f>
        <v>24534.55639086166</v>
      </c>
      <c r="E8" s="478">
        <f>industrie!E18</f>
        <v>2066.2202484596155</v>
      </c>
      <c r="F8" s="478">
        <f>industrie!F18</f>
        <v>17961.067659483615</v>
      </c>
      <c r="G8" s="478">
        <f>industrie!G18</f>
        <v>0</v>
      </c>
      <c r="H8" s="478">
        <f>industrie!H18</f>
        <v>0</v>
      </c>
      <c r="I8" s="478">
        <f>industrie!I18</f>
        <v>0</v>
      </c>
      <c r="J8" s="478">
        <f>industrie!J18</f>
        <v>114.72819605917545</v>
      </c>
      <c r="K8" s="478">
        <f>industrie!K18</f>
        <v>0</v>
      </c>
      <c r="L8" s="478">
        <f>industrie!L18</f>
        <v>0</v>
      </c>
      <c r="M8" s="478">
        <f>industrie!M18</f>
        <v>0</v>
      </c>
      <c r="N8" s="478">
        <f>industrie!N18</f>
        <v>5957.6147047176837</v>
      </c>
      <c r="O8" s="478">
        <f>industrie!O18</f>
        <v>0</v>
      </c>
      <c r="P8" s="479">
        <f>industrie!P18</f>
        <v>0</v>
      </c>
      <c r="Q8" s="477">
        <f t="shared" si="0"/>
        <v>93681.246605091743</v>
      </c>
    </row>
    <row r="9" spans="1:17" s="483" customFormat="1">
      <c r="A9" s="481" t="s">
        <v>564</v>
      </c>
      <c r="B9" s="482">
        <f>transport!B14</f>
        <v>150.81708238953573</v>
      </c>
      <c r="C9" s="482">
        <f>transport!C14</f>
        <v>0</v>
      </c>
      <c r="D9" s="482">
        <f>transport!D14</f>
        <v>325.27511129744892</v>
      </c>
      <c r="E9" s="482">
        <f>transport!E14</f>
        <v>1497.1881209667133</v>
      </c>
      <c r="F9" s="482">
        <f>transport!F14</f>
        <v>0</v>
      </c>
      <c r="G9" s="482">
        <f>transport!G14</f>
        <v>443754.02587573079</v>
      </c>
      <c r="H9" s="482">
        <f>transport!H14</f>
        <v>90479.158789374807</v>
      </c>
      <c r="I9" s="482">
        <f>transport!I14</f>
        <v>0</v>
      </c>
      <c r="J9" s="482">
        <f>transport!J14</f>
        <v>0</v>
      </c>
      <c r="K9" s="482">
        <f>transport!K14</f>
        <v>0</v>
      </c>
      <c r="L9" s="482">
        <f>transport!L14</f>
        <v>0</v>
      </c>
      <c r="M9" s="482">
        <f>transport!M14</f>
        <v>16691.472637077513</v>
      </c>
      <c r="N9" s="482">
        <f>transport!N14</f>
        <v>0</v>
      </c>
      <c r="O9" s="482">
        <f>transport!O14</f>
        <v>0</v>
      </c>
      <c r="P9" s="482">
        <f>transport!P14</f>
        <v>0</v>
      </c>
      <c r="Q9" s="481">
        <f>SUM(B9:P9)</f>
        <v>552897.93761683686</v>
      </c>
    </row>
    <row r="10" spans="1:17">
      <c r="A10" s="477" t="s">
        <v>554</v>
      </c>
      <c r="B10" s="478">
        <f>transport!B54</f>
        <v>0</v>
      </c>
      <c r="C10" s="478">
        <f>transport!C54</f>
        <v>0</v>
      </c>
      <c r="D10" s="478">
        <f>transport!D54</f>
        <v>0</v>
      </c>
      <c r="E10" s="478">
        <f>transport!E54</f>
        <v>0</v>
      </c>
      <c r="F10" s="478">
        <f>transport!F54</f>
        <v>0</v>
      </c>
      <c r="G10" s="478">
        <f>transport!G54</f>
        <v>9329.7201705649404</v>
      </c>
      <c r="H10" s="478">
        <f>transport!H54</f>
        <v>0</v>
      </c>
      <c r="I10" s="478">
        <f>transport!I54</f>
        <v>0</v>
      </c>
      <c r="J10" s="478">
        <f>transport!J54</f>
        <v>0</v>
      </c>
      <c r="K10" s="478">
        <f>transport!K54</f>
        <v>0</v>
      </c>
      <c r="L10" s="478">
        <f>transport!L54</f>
        <v>0</v>
      </c>
      <c r="M10" s="478">
        <f>transport!M54</f>
        <v>289.38704740807162</v>
      </c>
      <c r="N10" s="478">
        <f>transport!N54</f>
        <v>0</v>
      </c>
      <c r="O10" s="478">
        <f>transport!O54</f>
        <v>0</v>
      </c>
      <c r="P10" s="479">
        <f>transport!P54</f>
        <v>0</v>
      </c>
      <c r="Q10" s="477">
        <f t="shared" si="0"/>
        <v>9619.1072179730127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285162.24553930206</v>
      </c>
      <c r="C14" s="488">
        <f t="shared" ref="C14:Q14" ca="1" si="1">SUM(C4:C13)</f>
        <v>1144.2857142857142</v>
      </c>
      <c r="D14" s="488">
        <f t="shared" ca="1" si="1"/>
        <v>305239.58831130835</v>
      </c>
      <c r="E14" s="488">
        <f t="shared" si="1"/>
        <v>9960.1042366550992</v>
      </c>
      <c r="F14" s="488">
        <f t="shared" ca="1" si="1"/>
        <v>67806.065707563859</v>
      </c>
      <c r="G14" s="488">
        <f t="shared" si="1"/>
        <v>453083.74604629574</v>
      </c>
      <c r="H14" s="488">
        <f t="shared" si="1"/>
        <v>90479.158789374807</v>
      </c>
      <c r="I14" s="488">
        <f t="shared" si="1"/>
        <v>0</v>
      </c>
      <c r="J14" s="488">
        <f t="shared" si="1"/>
        <v>220.09248495274844</v>
      </c>
      <c r="K14" s="488">
        <f t="shared" si="1"/>
        <v>0</v>
      </c>
      <c r="L14" s="488">
        <f t="shared" ca="1" si="1"/>
        <v>0</v>
      </c>
      <c r="M14" s="488">
        <f t="shared" si="1"/>
        <v>16980.859684485586</v>
      </c>
      <c r="N14" s="488">
        <f t="shared" ca="1" si="1"/>
        <v>17010.328650490064</v>
      </c>
      <c r="O14" s="488">
        <f t="shared" si="1"/>
        <v>120.37666666666667</v>
      </c>
      <c r="P14" s="489">
        <f t="shared" si="1"/>
        <v>476.66666666666669</v>
      </c>
      <c r="Q14" s="489">
        <f t="shared" ca="1" si="1"/>
        <v>1247683.5184980475</v>
      </c>
    </row>
    <row r="16" spans="1:17">
      <c r="A16" s="491" t="s">
        <v>559</v>
      </c>
      <c r="B16" s="841">
        <f ca="1">huishoudens!B10</f>
        <v>0.21673688177563191</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10678.681627421545</v>
      </c>
      <c r="C21" s="478">
        <f t="shared" ref="C21:C30" ca="1" si="3">C4*$C$16</f>
        <v>0</v>
      </c>
      <c r="D21" s="478">
        <f t="shared" ref="D21:D30" si="4">D4*$D$16</f>
        <v>31456.561270431448</v>
      </c>
      <c r="E21" s="478">
        <f t="shared" ref="E21:E30" si="5">E4*$E$16</f>
        <v>687.24644308604502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42822.489340939035</v>
      </c>
    </row>
    <row r="22" spans="1:17">
      <c r="A22" s="477" t="s">
        <v>156</v>
      </c>
      <c r="B22" s="478">
        <f t="shared" ca="1" si="2"/>
        <v>40993.659493005274</v>
      </c>
      <c r="C22" s="478">
        <f t="shared" ca="1" si="3"/>
        <v>271.93613445378156</v>
      </c>
      <c r="D22" s="478">
        <f t="shared" ca="1" si="4"/>
        <v>22669.587173342905</v>
      </c>
      <c r="E22" s="478">
        <f t="shared" si="5"/>
        <v>760.51946960877569</v>
      </c>
      <c r="F22" s="478">
        <f t="shared" ca="1" si="6"/>
        <v>12594.343213221788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77290.045483632537</v>
      </c>
    </row>
    <row r="23" spans="1:17">
      <c r="A23" s="477" t="s">
        <v>194</v>
      </c>
      <c r="B23" s="478">
        <f t="shared" ca="1" si="2"/>
        <v>611.63559837158698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611.63559837158698</v>
      </c>
    </row>
    <row r="24" spans="1:17">
      <c r="A24" s="477" t="s">
        <v>112</v>
      </c>
      <c r="B24" s="478">
        <f t="shared" ca="1" si="2"/>
        <v>158.62613021079798</v>
      </c>
      <c r="C24" s="478">
        <f t="shared" ca="1" si="3"/>
        <v>0</v>
      </c>
      <c r="D24" s="478">
        <f t="shared" si="4"/>
        <v>2510.5624316738085</v>
      </c>
      <c r="E24" s="478">
        <f t="shared" si="5"/>
        <v>4.2840491661098499</v>
      </c>
      <c r="F24" s="478">
        <f t="shared" si="6"/>
        <v>714.27126561563875</v>
      </c>
      <c r="G24" s="478">
        <f t="shared" si="7"/>
        <v>0</v>
      </c>
      <c r="H24" s="478">
        <f t="shared" si="8"/>
        <v>0</v>
      </c>
      <c r="I24" s="478">
        <f t="shared" si="9"/>
        <v>0</v>
      </c>
      <c r="J24" s="478">
        <f t="shared" si="10"/>
        <v>37.298958268324839</v>
      </c>
      <c r="K24" s="478">
        <f t="shared" si="11"/>
        <v>0</v>
      </c>
      <c r="L24" s="478">
        <f t="shared" si="12"/>
        <v>0</v>
      </c>
      <c r="M24" s="478">
        <f t="shared" si="13"/>
        <v>0</v>
      </c>
      <c r="N24" s="478">
        <f t="shared" si="14"/>
        <v>0</v>
      </c>
      <c r="O24" s="478">
        <f t="shared" si="15"/>
        <v>0</v>
      </c>
      <c r="P24" s="479">
        <f t="shared" si="16"/>
        <v>0</v>
      </c>
      <c r="Q24" s="477">
        <f t="shared" ca="1" si="17"/>
        <v>3425.0428349346798</v>
      </c>
    </row>
    <row r="25" spans="1:17">
      <c r="A25" s="477" t="s">
        <v>638</v>
      </c>
      <c r="B25" s="478">
        <f t="shared" ca="1" si="2"/>
        <v>9329.8854251606226</v>
      </c>
      <c r="C25" s="478">
        <f t="shared" ca="1" si="3"/>
        <v>0</v>
      </c>
      <c r="D25" s="478">
        <f t="shared" si="4"/>
        <v>4955.980390954056</v>
      </c>
      <c r="E25" s="478">
        <f t="shared" si="5"/>
        <v>469.03199640033273</v>
      </c>
      <c r="F25" s="478">
        <f t="shared" si="6"/>
        <v>4795.6050650821253</v>
      </c>
      <c r="G25" s="478">
        <f t="shared" si="7"/>
        <v>0</v>
      </c>
      <c r="H25" s="478">
        <f t="shared" si="8"/>
        <v>0</v>
      </c>
      <c r="I25" s="478">
        <f t="shared" si="9"/>
        <v>0</v>
      </c>
      <c r="J25" s="478">
        <f t="shared" si="10"/>
        <v>40.613781404948107</v>
      </c>
      <c r="K25" s="478">
        <f t="shared" si="11"/>
        <v>0</v>
      </c>
      <c r="L25" s="478">
        <f t="shared" si="12"/>
        <v>0</v>
      </c>
      <c r="M25" s="478">
        <f t="shared" si="13"/>
        <v>0</v>
      </c>
      <c r="N25" s="478">
        <f t="shared" si="14"/>
        <v>0</v>
      </c>
      <c r="O25" s="478">
        <f t="shared" si="15"/>
        <v>0</v>
      </c>
      <c r="P25" s="479">
        <f t="shared" si="16"/>
        <v>0</v>
      </c>
      <c r="Q25" s="477">
        <f t="shared" ca="1" si="17"/>
        <v>19591.116659002084</v>
      </c>
    </row>
    <row r="26" spans="1:17" s="483" customFormat="1">
      <c r="A26" s="481" t="s">
        <v>564</v>
      </c>
      <c r="B26" s="835">
        <f t="shared" ca="1" si="2"/>
        <v>32.687624155606542</v>
      </c>
      <c r="C26" s="482">
        <f t="shared" ca="1" si="3"/>
        <v>0</v>
      </c>
      <c r="D26" s="482">
        <f t="shared" si="4"/>
        <v>65.70557248208469</v>
      </c>
      <c r="E26" s="482">
        <f t="shared" si="5"/>
        <v>339.86170345944396</v>
      </c>
      <c r="F26" s="482">
        <f t="shared" si="6"/>
        <v>0</v>
      </c>
      <c r="G26" s="482">
        <f t="shared" si="7"/>
        <v>118482.32490882013</v>
      </c>
      <c r="H26" s="482">
        <f t="shared" si="8"/>
        <v>22529.310538554328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141449.89034747158</v>
      </c>
    </row>
    <row r="27" spans="1:17">
      <c r="A27" s="477" t="s">
        <v>554</v>
      </c>
      <c r="B27" s="478">
        <f t="shared" ca="1" si="2"/>
        <v>0</v>
      </c>
      <c r="C27" s="478">
        <f t="shared" ca="1" si="3"/>
        <v>0</v>
      </c>
      <c r="D27" s="478">
        <f t="shared" si="4"/>
        <v>0</v>
      </c>
      <c r="E27" s="478">
        <f t="shared" si="5"/>
        <v>0</v>
      </c>
      <c r="F27" s="478">
        <f t="shared" si="6"/>
        <v>0</v>
      </c>
      <c r="G27" s="478">
        <f t="shared" si="7"/>
        <v>2491.0352855408391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2491.0352855408391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61805.175898325433</v>
      </c>
      <c r="C31" s="488">
        <f t="shared" ca="1" si="18"/>
        <v>271.93613445378156</v>
      </c>
      <c r="D31" s="488">
        <f t="shared" ca="1" si="18"/>
        <v>61658.396838884299</v>
      </c>
      <c r="E31" s="488">
        <f t="shared" si="18"/>
        <v>2260.943661720707</v>
      </c>
      <c r="F31" s="488">
        <f t="shared" ca="1" si="18"/>
        <v>18104.219543919549</v>
      </c>
      <c r="G31" s="488">
        <f t="shared" si="18"/>
        <v>120973.36019436097</v>
      </c>
      <c r="H31" s="488">
        <f t="shared" si="18"/>
        <v>22529.310538554328</v>
      </c>
      <c r="I31" s="488">
        <f t="shared" si="18"/>
        <v>0</v>
      </c>
      <c r="J31" s="488">
        <f t="shared" si="18"/>
        <v>77.912739673272938</v>
      </c>
      <c r="K31" s="488">
        <f t="shared" si="18"/>
        <v>0</v>
      </c>
      <c r="L31" s="488">
        <f t="shared" ca="1" si="18"/>
        <v>0</v>
      </c>
      <c r="M31" s="488">
        <f t="shared" si="18"/>
        <v>0</v>
      </c>
      <c r="N31" s="488">
        <f t="shared" ca="1" si="18"/>
        <v>0</v>
      </c>
      <c r="O31" s="488">
        <f t="shared" si="18"/>
        <v>0</v>
      </c>
      <c r="P31" s="489">
        <f t="shared" si="18"/>
        <v>0</v>
      </c>
      <c r="Q31" s="489">
        <f t="shared" ca="1" si="18"/>
        <v>287681.25554989232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0.21673688177563191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0.21673688177563191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0.21673688177563191</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13478</v>
      </c>
      <c r="C9" s="342">
        <v>13822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735.65</v>
      </c>
    </row>
    <row r="15" spans="1:6">
      <c r="A15" s="348" t="s">
        <v>184</v>
      </c>
      <c r="B15" s="334">
        <v>0</v>
      </c>
    </row>
    <row r="16" spans="1:6">
      <c r="A16" s="348" t="s">
        <v>6</v>
      </c>
      <c r="B16" s="334">
        <v>0</v>
      </c>
    </row>
    <row r="17" spans="1:6">
      <c r="A17" s="348" t="s">
        <v>7</v>
      </c>
      <c r="B17" s="334">
        <v>5</v>
      </c>
    </row>
    <row r="18" spans="1:6">
      <c r="A18" s="348" t="s">
        <v>8</v>
      </c>
      <c r="B18" s="334">
        <v>4</v>
      </c>
    </row>
    <row r="19" spans="1:6">
      <c r="A19" s="348" t="s">
        <v>9</v>
      </c>
      <c r="B19" s="334">
        <v>6</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28</v>
      </c>
      <c r="C29" s="356"/>
      <c r="D29" s="356"/>
      <c r="E29" s="356"/>
      <c r="F29" s="356"/>
    </row>
    <row r="30" spans="1:6">
      <c r="A30" s="355" t="s">
        <v>813</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13708</v>
      </c>
    </row>
    <row r="37" spans="1:6">
      <c r="A37" s="348" t="s">
        <v>25</v>
      </c>
      <c r="B37" s="348" t="s">
        <v>28</v>
      </c>
      <c r="C37" s="334">
        <v>0</v>
      </c>
      <c r="D37" s="334">
        <v>0</v>
      </c>
      <c r="E37" s="334">
        <v>0</v>
      </c>
      <c r="F37" s="334">
        <v>0</v>
      </c>
    </row>
    <row r="38" spans="1:6">
      <c r="A38" s="348" t="s">
        <v>25</v>
      </c>
      <c r="B38" s="348" t="s">
        <v>29</v>
      </c>
      <c r="C38" s="334">
        <v>0</v>
      </c>
      <c r="D38" s="334">
        <v>0</v>
      </c>
      <c r="E38" s="334">
        <v>5</v>
      </c>
      <c r="F38" s="334">
        <v>28866.128829000001</v>
      </c>
    </row>
    <row r="39" spans="1:6">
      <c r="A39" s="348" t="s">
        <v>30</v>
      </c>
      <c r="B39" s="348" t="s">
        <v>31</v>
      </c>
      <c r="C39" s="334">
        <v>10638</v>
      </c>
      <c r="D39" s="334">
        <v>172644734.86000001</v>
      </c>
      <c r="E39" s="334">
        <v>13701</v>
      </c>
      <c r="F39" s="334">
        <v>47480364.669</v>
      </c>
    </row>
    <row r="40" spans="1:6">
      <c r="A40" s="348" t="s">
        <v>30</v>
      </c>
      <c r="B40" s="348" t="s">
        <v>29</v>
      </c>
      <c r="C40" s="334">
        <v>0</v>
      </c>
      <c r="D40" s="334">
        <v>0</v>
      </c>
      <c r="E40" s="334">
        <v>0</v>
      </c>
      <c r="F40" s="334">
        <v>0</v>
      </c>
    </row>
    <row r="41" spans="1:6">
      <c r="A41" s="348" t="s">
        <v>32</v>
      </c>
      <c r="B41" s="348" t="s">
        <v>33</v>
      </c>
      <c r="C41" s="334">
        <v>72</v>
      </c>
      <c r="D41" s="334">
        <v>8364054.0257000001</v>
      </c>
      <c r="E41" s="334">
        <v>162</v>
      </c>
      <c r="F41" s="334">
        <v>2384292.4690999999</v>
      </c>
    </row>
    <row r="42" spans="1:6">
      <c r="A42" s="348" t="s">
        <v>32</v>
      </c>
      <c r="B42" s="348" t="s">
        <v>34</v>
      </c>
      <c r="C42" s="334">
        <v>0</v>
      </c>
      <c r="D42" s="334">
        <v>0</v>
      </c>
      <c r="E42" s="334">
        <v>5</v>
      </c>
      <c r="F42" s="334">
        <v>609065.00251000002</v>
      </c>
    </row>
    <row r="43" spans="1:6">
      <c r="A43" s="348" t="s">
        <v>32</v>
      </c>
      <c r="B43" s="348" t="s">
        <v>35</v>
      </c>
      <c r="C43" s="334">
        <v>0</v>
      </c>
      <c r="D43" s="334">
        <v>0</v>
      </c>
      <c r="E43" s="334">
        <v>0</v>
      </c>
      <c r="F43" s="334">
        <v>0</v>
      </c>
    </row>
    <row r="44" spans="1:6">
      <c r="A44" s="348" t="s">
        <v>32</v>
      </c>
      <c r="B44" s="348" t="s">
        <v>36</v>
      </c>
      <c r="C44" s="334">
        <v>9</v>
      </c>
      <c r="D44" s="334">
        <v>13387233.142000001</v>
      </c>
      <c r="E44" s="334">
        <v>20</v>
      </c>
      <c r="F44" s="334">
        <v>33867536.358999997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131303.47063</v>
      </c>
      <c r="E47" s="334">
        <v>9</v>
      </c>
      <c r="F47" s="334">
        <v>1264074.2197</v>
      </c>
    </row>
    <row r="48" spans="1:6">
      <c r="A48" s="348" t="s">
        <v>32</v>
      </c>
      <c r="B48" s="348" t="s">
        <v>29</v>
      </c>
      <c r="C48" s="334">
        <v>75</v>
      </c>
      <c r="D48" s="334">
        <v>4253982.7377000004</v>
      </c>
      <c r="E48" s="334">
        <v>82</v>
      </c>
      <c r="F48" s="334">
        <v>3713449.0093999999</v>
      </c>
    </row>
    <row r="49" spans="1:6">
      <c r="A49" s="348" t="s">
        <v>32</v>
      </c>
      <c r="B49" s="348" t="s">
        <v>40</v>
      </c>
      <c r="C49" s="334">
        <v>0</v>
      </c>
      <c r="D49" s="334">
        <v>0</v>
      </c>
      <c r="E49" s="334">
        <v>0</v>
      </c>
      <c r="F49" s="334">
        <v>0</v>
      </c>
    </row>
    <row r="50" spans="1:6">
      <c r="A50" s="348" t="s">
        <v>32</v>
      </c>
      <c r="B50" s="348" t="s">
        <v>41</v>
      </c>
      <c r="C50" s="334">
        <v>7</v>
      </c>
      <c r="D50" s="334">
        <v>1063600.0063</v>
      </c>
      <c r="E50" s="334">
        <v>13</v>
      </c>
      <c r="F50" s="334">
        <v>1208642.3458</v>
      </c>
    </row>
    <row r="51" spans="1:6">
      <c r="A51" s="348" t="s">
        <v>42</v>
      </c>
      <c r="B51" s="348" t="s">
        <v>43</v>
      </c>
      <c r="C51" s="334">
        <v>0</v>
      </c>
      <c r="D51" s="334">
        <v>0</v>
      </c>
      <c r="E51" s="334">
        <v>14</v>
      </c>
      <c r="F51" s="334">
        <v>658156.07623000001</v>
      </c>
    </row>
    <row r="52" spans="1:6">
      <c r="A52" s="348" t="s">
        <v>42</v>
      </c>
      <c r="B52" s="348" t="s">
        <v>29</v>
      </c>
      <c r="C52" s="334">
        <v>13</v>
      </c>
      <c r="D52" s="334">
        <v>199792.26165</v>
      </c>
      <c r="E52" s="334">
        <v>9</v>
      </c>
      <c r="F52" s="334">
        <v>73727.343477999995</v>
      </c>
    </row>
    <row r="53" spans="1:6">
      <c r="A53" s="348" t="s">
        <v>44</v>
      </c>
      <c r="B53" s="348" t="s">
        <v>45</v>
      </c>
      <c r="C53" s="334">
        <v>363</v>
      </c>
      <c r="D53" s="334">
        <v>13579062.382999999</v>
      </c>
      <c r="E53" s="334">
        <v>703</v>
      </c>
      <c r="F53" s="334">
        <v>7810151.9382999996</v>
      </c>
    </row>
    <row r="54" spans="1:6">
      <c r="A54" s="348" t="s">
        <v>46</v>
      </c>
      <c r="B54" s="348" t="s">
        <v>47</v>
      </c>
      <c r="C54" s="334">
        <v>0</v>
      </c>
      <c r="D54" s="334">
        <v>0</v>
      </c>
      <c r="E54" s="334">
        <v>1</v>
      </c>
      <c r="F54" s="334">
        <v>2822019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4016402.8292</v>
      </c>
      <c r="E57" s="334">
        <v>83</v>
      </c>
      <c r="F57" s="334">
        <v>1577913.3557</v>
      </c>
    </row>
    <row r="58" spans="1:6">
      <c r="A58" s="348" t="s">
        <v>49</v>
      </c>
      <c r="B58" s="348" t="s">
        <v>51</v>
      </c>
      <c r="C58" s="334">
        <v>36</v>
      </c>
      <c r="D58" s="334">
        <v>2430410.8007</v>
      </c>
      <c r="E58" s="334">
        <v>53</v>
      </c>
      <c r="F58" s="334">
        <v>1958230.5088</v>
      </c>
    </row>
    <row r="59" spans="1:6">
      <c r="A59" s="348" t="s">
        <v>49</v>
      </c>
      <c r="B59" s="348" t="s">
        <v>52</v>
      </c>
      <c r="C59" s="334">
        <v>222</v>
      </c>
      <c r="D59" s="334">
        <v>29211891.484999999</v>
      </c>
      <c r="E59" s="334">
        <v>430</v>
      </c>
      <c r="F59" s="334">
        <v>36839344.369000003</v>
      </c>
    </row>
    <row r="60" spans="1:6">
      <c r="A60" s="348" t="s">
        <v>49</v>
      </c>
      <c r="B60" s="348" t="s">
        <v>53</v>
      </c>
      <c r="C60" s="334">
        <v>130</v>
      </c>
      <c r="D60" s="334">
        <v>6139815.7838000003</v>
      </c>
      <c r="E60" s="334">
        <v>156</v>
      </c>
      <c r="F60" s="334">
        <v>7232780.8025000002</v>
      </c>
    </row>
    <row r="61" spans="1:6">
      <c r="A61" s="348" t="s">
        <v>49</v>
      </c>
      <c r="B61" s="348" t="s">
        <v>54</v>
      </c>
      <c r="C61" s="334">
        <v>577</v>
      </c>
      <c r="D61" s="334">
        <v>60768886.710000001</v>
      </c>
      <c r="E61" s="334">
        <v>1374</v>
      </c>
      <c r="F61" s="334">
        <v>115667569.04000001</v>
      </c>
    </row>
    <row r="62" spans="1:6">
      <c r="A62" s="348" t="s">
        <v>49</v>
      </c>
      <c r="B62" s="348" t="s">
        <v>55</v>
      </c>
      <c r="C62" s="334">
        <v>6</v>
      </c>
      <c r="D62" s="334">
        <v>1488437.0515000001</v>
      </c>
      <c r="E62" s="334">
        <v>11</v>
      </c>
      <c r="F62" s="334">
        <v>624410.79761000001</v>
      </c>
    </row>
    <row r="63" spans="1:6">
      <c r="A63" s="348" t="s">
        <v>49</v>
      </c>
      <c r="B63" s="348" t="s">
        <v>29</v>
      </c>
      <c r="C63" s="334">
        <v>241</v>
      </c>
      <c r="D63" s="334">
        <v>22900087.162999999</v>
      </c>
      <c r="E63" s="334">
        <v>266</v>
      </c>
      <c r="F63" s="334">
        <v>24438961.861000001</v>
      </c>
    </row>
    <row r="64" spans="1:6">
      <c r="A64" s="348" t="s">
        <v>56</v>
      </c>
      <c r="B64" s="348" t="s">
        <v>57</v>
      </c>
      <c r="C64" s="334">
        <v>0</v>
      </c>
      <c r="D64" s="334">
        <v>0</v>
      </c>
      <c r="E64" s="334">
        <v>0</v>
      </c>
      <c r="F64" s="334">
        <v>0</v>
      </c>
    </row>
    <row r="65" spans="1:6">
      <c r="A65" s="348" t="s">
        <v>56</v>
      </c>
      <c r="B65" s="348" t="s">
        <v>29</v>
      </c>
      <c r="C65" s="334">
        <v>6</v>
      </c>
      <c r="D65" s="334">
        <v>961726.52992</v>
      </c>
      <c r="E65" s="334">
        <v>5</v>
      </c>
      <c r="F65" s="334">
        <v>61165.343066000001</v>
      </c>
    </row>
    <row r="66" spans="1:6">
      <c r="A66" s="348" t="s">
        <v>56</v>
      </c>
      <c r="B66" s="348" t="s">
        <v>58</v>
      </c>
      <c r="C66" s="334">
        <v>0</v>
      </c>
      <c r="D66" s="334">
        <v>0</v>
      </c>
      <c r="E66" s="334">
        <v>29</v>
      </c>
      <c r="F66" s="334">
        <v>790873.04861000006</v>
      </c>
    </row>
    <row r="67" spans="1:6">
      <c r="A67" s="355" t="s">
        <v>56</v>
      </c>
      <c r="B67" s="355" t="s">
        <v>59</v>
      </c>
      <c r="C67" s="334">
        <v>0</v>
      </c>
      <c r="D67" s="334">
        <v>0</v>
      </c>
      <c r="E67" s="334">
        <v>0</v>
      </c>
      <c r="F67" s="334">
        <v>0</v>
      </c>
    </row>
    <row r="68" spans="1:6">
      <c r="A68" s="341" t="s">
        <v>56</v>
      </c>
      <c r="B68" s="341" t="s">
        <v>60</v>
      </c>
      <c r="C68" s="334">
        <v>16</v>
      </c>
      <c r="D68" s="334">
        <v>409914.21597999998</v>
      </c>
      <c r="E68" s="334">
        <v>25</v>
      </c>
      <c r="F68" s="334">
        <v>450867.30187000002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119835610</v>
      </c>
      <c r="E73" s="476">
        <v>148053890.91572654</v>
      </c>
    </row>
    <row r="74" spans="1:6">
      <c r="A74" s="348" t="s">
        <v>64</v>
      </c>
      <c r="B74" s="348" t="s">
        <v>667</v>
      </c>
      <c r="C74" s="1212" t="s">
        <v>669</v>
      </c>
      <c r="D74" s="476">
        <v>4543238.4696934503</v>
      </c>
      <c r="E74" s="476">
        <v>5400772.2305160547</v>
      </c>
    </row>
    <row r="75" spans="1:6">
      <c r="A75" s="348" t="s">
        <v>65</v>
      </c>
      <c r="B75" s="348" t="s">
        <v>666</v>
      </c>
      <c r="C75" s="1212" t="s">
        <v>670</v>
      </c>
      <c r="D75" s="476">
        <v>42060269</v>
      </c>
      <c r="E75" s="476">
        <v>53565514.208524846</v>
      </c>
    </row>
    <row r="76" spans="1:6">
      <c r="A76" s="348" t="s">
        <v>65</v>
      </c>
      <c r="B76" s="348" t="s">
        <v>667</v>
      </c>
      <c r="C76" s="1212" t="s">
        <v>671</v>
      </c>
      <c r="D76" s="476">
        <v>142885.30000000002</v>
      </c>
      <c r="E76" s="476">
        <v>337222.62431334355</v>
      </c>
    </row>
    <row r="77" spans="1:6">
      <c r="A77" s="348" t="s">
        <v>66</v>
      </c>
      <c r="B77" s="348" t="s">
        <v>666</v>
      </c>
      <c r="C77" s="1212" t="s">
        <v>672</v>
      </c>
      <c r="D77" s="476">
        <v>481699513</v>
      </c>
      <c r="E77" s="476">
        <v>515307697.79307371</v>
      </c>
    </row>
    <row r="78" spans="1:6">
      <c r="A78" s="341" t="s">
        <v>66</v>
      </c>
      <c r="B78" s="341" t="s">
        <v>667</v>
      </c>
      <c r="C78" s="341" t="s">
        <v>673</v>
      </c>
      <c r="D78" s="1213">
        <v>41577138</v>
      </c>
      <c r="E78" s="1213">
        <v>42961522.127922006</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2583561.0606130995</v>
      </c>
      <c r="C83" s="476">
        <v>2583561.0606130995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1789.8912280845489</v>
      </c>
    </row>
    <row r="92" spans="1:6">
      <c r="A92" s="341" t="s">
        <v>69</v>
      </c>
      <c r="B92" s="342">
        <v>3771.2610795080727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7180</v>
      </c>
    </row>
    <row r="98" spans="1:6">
      <c r="A98" s="348" t="s">
        <v>72</v>
      </c>
      <c r="B98" s="334">
        <v>4</v>
      </c>
    </row>
    <row r="99" spans="1:6">
      <c r="A99" s="348" t="s">
        <v>73</v>
      </c>
      <c r="B99" s="334">
        <v>38</v>
      </c>
    </row>
    <row r="100" spans="1:6">
      <c r="A100" s="348" t="s">
        <v>74</v>
      </c>
      <c r="B100" s="334">
        <v>729</v>
      </c>
    </row>
    <row r="101" spans="1:6">
      <c r="A101" s="348" t="s">
        <v>75</v>
      </c>
      <c r="B101" s="334">
        <v>33</v>
      </c>
    </row>
    <row r="102" spans="1:6">
      <c r="A102" s="348" t="s">
        <v>76</v>
      </c>
      <c r="B102" s="334">
        <v>215</v>
      </c>
    </row>
    <row r="103" spans="1:6">
      <c r="A103" s="348" t="s">
        <v>77</v>
      </c>
      <c r="B103" s="334">
        <v>81</v>
      </c>
    </row>
    <row r="104" spans="1:6">
      <c r="A104" s="348" t="s">
        <v>78</v>
      </c>
      <c r="B104" s="334">
        <v>2411</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1</v>
      </c>
    </row>
    <row r="131" spans="1:6">
      <c r="A131" s="348" t="s">
        <v>296</v>
      </c>
      <c r="B131" s="334">
        <v>3</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285162.24553930206</v>
      </c>
      <c r="C3" s="43" t="s">
        <v>170</v>
      </c>
      <c r="D3" s="43"/>
      <c r="E3" s="154"/>
      <c r="F3" s="43"/>
      <c r="G3" s="43"/>
      <c r="H3" s="43"/>
      <c r="I3" s="43"/>
      <c r="J3" s="43"/>
      <c r="K3" s="96"/>
    </row>
    <row r="4" spans="1:11">
      <c r="A4" s="383" t="s">
        <v>171</v>
      </c>
      <c r="B4" s="49">
        <f>IF(ISERROR('SEAP template'!B69),0,'SEAP template'!B69)</f>
        <v>6362.1523075926216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190.35529411764713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0.21673688177563191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271.93613445378156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1144.2857142857142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2822.0189999999998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2822.0189999999998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0.21673688177563191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611.63559837158698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47480.364669000002</v>
      </c>
      <c r="C5" s="17">
        <f>IF(ISERROR('Eigen informatie GS &amp; warmtenet'!B57),0,'Eigen informatie GS &amp; warmtenet'!B57)</f>
        <v>0</v>
      </c>
      <c r="D5" s="30">
        <f>(SUM(HH_hh_gas_kWh,HH_rest_gas_kWh)/1000)*0.902</f>
        <v>155725.55084372003</v>
      </c>
      <c r="E5" s="17">
        <f>B46*B57</f>
        <v>3027.5173704231056</v>
      </c>
      <c r="F5" s="17">
        <f>B51*B62</f>
        <v>0</v>
      </c>
      <c r="G5" s="18"/>
      <c r="H5" s="17"/>
      <c r="I5" s="17"/>
      <c r="J5" s="17">
        <f>B50*B61+C50*C61</f>
        <v>0</v>
      </c>
      <c r="K5" s="17"/>
      <c r="L5" s="17"/>
      <c r="M5" s="17"/>
      <c r="N5" s="17">
        <f>B48*B59+C48*C59</f>
        <v>7466.9873138947951</v>
      </c>
      <c r="O5" s="17">
        <f>B69*B70*B71</f>
        <v>118.81333333333333</v>
      </c>
      <c r="P5" s="17">
        <f>B77*B78*B79/1000-B77*B78*B79/1000/B80</f>
        <v>419.4666666666667</v>
      </c>
    </row>
    <row r="6" spans="1:16">
      <c r="A6" s="16" t="s">
        <v>624</v>
      </c>
      <c r="B6" s="843">
        <f>kWh_PV_kleiner_dan_10kW</f>
        <v>1789.8912280845489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49270.255897084549</v>
      </c>
      <c r="C8" s="21">
        <f>C5</f>
        <v>0</v>
      </c>
      <c r="D8" s="21">
        <f>D5</f>
        <v>155725.55084372003</v>
      </c>
      <c r="E8" s="21">
        <f>E5</f>
        <v>3027.5173704231056</v>
      </c>
      <c r="F8" s="21">
        <f>F5</f>
        <v>0</v>
      </c>
      <c r="G8" s="21"/>
      <c r="H8" s="21"/>
      <c r="I8" s="21"/>
      <c r="J8" s="21">
        <f>J5</f>
        <v>0</v>
      </c>
      <c r="K8" s="21"/>
      <c r="L8" s="21">
        <f>L5</f>
        <v>0</v>
      </c>
      <c r="M8" s="21">
        <f>M5</f>
        <v>0</v>
      </c>
      <c r="N8" s="21">
        <f>N5</f>
        <v>7466.9873138947951</v>
      </c>
      <c r="O8" s="21">
        <f>O5</f>
        <v>118.81333333333333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0.21673688177563191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10678.681627421545</v>
      </c>
      <c r="C12" s="23">
        <f ca="1">C10*C8</f>
        <v>0</v>
      </c>
      <c r="D12" s="23">
        <f>D8*D10</f>
        <v>31456.561270431448</v>
      </c>
      <c r="E12" s="23">
        <f>E10*E8</f>
        <v>687.24644308604502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7180</v>
      </c>
      <c r="C18" s="166" t="s">
        <v>111</v>
      </c>
      <c r="D18" s="228"/>
      <c r="E18" s="15"/>
    </row>
    <row r="19" spans="1:7">
      <c r="A19" s="171" t="s">
        <v>72</v>
      </c>
      <c r="B19" s="37">
        <f>aantalw2001_ander</f>
        <v>4</v>
      </c>
      <c r="C19" s="166" t="s">
        <v>111</v>
      </c>
      <c r="D19" s="229"/>
      <c r="E19" s="15"/>
    </row>
    <row r="20" spans="1:7">
      <c r="A20" s="171" t="s">
        <v>73</v>
      </c>
      <c r="B20" s="37">
        <f>aantalw2001_propaan</f>
        <v>38</v>
      </c>
      <c r="C20" s="167">
        <f>IF(ISERROR(B20/SUM($B$20,$B$21,$B$22)*100),0,B20/SUM($B$20,$B$21,$B$22)*100)</f>
        <v>4.75</v>
      </c>
      <c r="D20" s="229"/>
      <c r="E20" s="15"/>
    </row>
    <row r="21" spans="1:7">
      <c r="A21" s="171" t="s">
        <v>74</v>
      </c>
      <c r="B21" s="37">
        <f>aantalw2001_elektriciteit</f>
        <v>729</v>
      </c>
      <c r="C21" s="167">
        <f>IF(ISERROR(B21/SUM($B$20,$B$21,$B$22)*100),0,B21/SUM($B$20,$B$21,$B$22)*100)</f>
        <v>91.125</v>
      </c>
      <c r="D21" s="229"/>
      <c r="E21" s="15"/>
    </row>
    <row r="22" spans="1:7">
      <c r="A22" s="171" t="s">
        <v>75</v>
      </c>
      <c r="B22" s="37">
        <f>aantalw2001_hout</f>
        <v>33</v>
      </c>
      <c r="C22" s="167">
        <f>IF(ISERROR(B22/SUM($B$20,$B$21,$B$22)*100),0,B22/SUM($B$20,$B$21,$B$22)*100)</f>
        <v>4.125</v>
      </c>
      <c r="D22" s="229"/>
      <c r="E22" s="15"/>
    </row>
    <row r="23" spans="1:7">
      <c r="A23" s="171" t="s">
        <v>76</v>
      </c>
      <c r="B23" s="37">
        <f>aantalw2001_niet_gespec</f>
        <v>215</v>
      </c>
      <c r="C23" s="166" t="s">
        <v>111</v>
      </c>
      <c r="D23" s="228"/>
      <c r="E23" s="15"/>
    </row>
    <row r="24" spans="1:7">
      <c r="A24" s="171" t="s">
        <v>77</v>
      </c>
      <c r="B24" s="37">
        <f>aantalw2001_steenkool</f>
        <v>81</v>
      </c>
      <c r="C24" s="166" t="s">
        <v>111</v>
      </c>
      <c r="D24" s="229"/>
      <c r="E24" s="15"/>
    </row>
    <row r="25" spans="1:7">
      <c r="A25" s="171" t="s">
        <v>78</v>
      </c>
      <c r="B25" s="37">
        <f>aantalw2001_stookolie</f>
        <v>2411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13478</v>
      </c>
      <c r="C28" s="36"/>
      <c r="D28" s="228"/>
    </row>
    <row r="29" spans="1:7" s="15" customFormat="1">
      <c r="A29" s="230" t="s">
        <v>699</v>
      </c>
      <c r="B29" s="37">
        <f>SUM(HH_hh_gas_aantal,HH_rest_gas_aantal)</f>
        <v>10638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10638</v>
      </c>
      <c r="C32" s="167">
        <f>IF(ISERROR(B32/SUM($B$32,$B$34,$B$35,$B$36,$B$38,$B$39)*100),0,B32/SUM($B$32,$B$34,$B$35,$B$36,$B$38,$B$39)*100)</f>
        <v>79.057669441141499</v>
      </c>
      <c r="D32" s="233"/>
      <c r="G32" s="15"/>
    </row>
    <row r="33" spans="1:7">
      <c r="A33" s="171" t="s">
        <v>72</v>
      </c>
      <c r="B33" s="34" t="s">
        <v>111</v>
      </c>
      <c r="C33" s="167"/>
      <c r="D33" s="233"/>
      <c r="G33" s="15"/>
    </row>
    <row r="34" spans="1:7">
      <c r="A34" s="171" t="s">
        <v>73</v>
      </c>
      <c r="B34" s="33">
        <f>IF((($B$28-$B$32-$B$39-$B$77-$B$38)*C20/100)&lt;0,0,($B$28-$B$32-$B$39-$B$77-$B$38)*C20/100)</f>
        <v>133.85499999999999</v>
      </c>
      <c r="C34" s="167">
        <f>IF(ISERROR(B34/SUM($B$32,$B$34,$B$35,$B$36,$B$38,$B$39)*100),0,B34/SUM($B$32,$B$34,$B$35,$B$36,$B$38,$B$39)*100)</f>
        <v>0.99476070154577867</v>
      </c>
      <c r="D34" s="233"/>
      <c r="G34" s="15"/>
    </row>
    <row r="35" spans="1:7">
      <c r="A35" s="171" t="s">
        <v>74</v>
      </c>
      <c r="B35" s="33">
        <f>IF((($B$28-$B$32-$B$39-$B$77-$B$38)*C21/100)&lt;0,0,($B$28-$B$32-$B$39-$B$77-$B$38)*C21/100)</f>
        <v>2567.9025000000001</v>
      </c>
      <c r="C35" s="167">
        <f>IF(ISERROR(B35/SUM($B$32,$B$34,$B$35,$B$36,$B$38,$B$39)*100),0,B35/SUM($B$32,$B$34,$B$35,$B$36,$B$38,$B$39)*100)</f>
        <v>19.083698721759813</v>
      </c>
      <c r="D35" s="233"/>
      <c r="G35" s="15"/>
    </row>
    <row r="36" spans="1:7">
      <c r="A36" s="171" t="s">
        <v>75</v>
      </c>
      <c r="B36" s="33">
        <f>IF((($B$28-$B$32-$B$39-$B$77-$B$38)*C22/100)&lt;0,0,($B$28-$B$32-$B$39-$B$77-$B$38)*C22/100)</f>
        <v>116.24250000000001</v>
      </c>
      <c r="C36" s="167">
        <f>IF(ISERROR(B36/SUM($B$32,$B$34,$B$35,$B$36,$B$38,$B$39)*100),0,B36/SUM($B$32,$B$34,$B$35,$B$36,$B$38,$B$39)*100)</f>
        <v>0.86387113555291328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10638</v>
      </c>
      <c r="C44" s="34" t="s">
        <v>111</v>
      </c>
      <c r="D44" s="174"/>
    </row>
    <row r="45" spans="1:7">
      <c r="A45" s="171" t="s">
        <v>72</v>
      </c>
      <c r="B45" s="33" t="str">
        <f t="shared" si="0"/>
        <v>-</v>
      </c>
      <c r="C45" s="34" t="s">
        <v>111</v>
      </c>
      <c r="D45" s="174"/>
    </row>
    <row r="46" spans="1:7">
      <c r="A46" s="171" t="s">
        <v>73</v>
      </c>
      <c r="B46" s="33">
        <f t="shared" si="0"/>
        <v>133.85499999999999</v>
      </c>
      <c r="C46" s="34" t="s">
        <v>111</v>
      </c>
      <c r="D46" s="174"/>
    </row>
    <row r="47" spans="1:7">
      <c r="A47" s="171" t="s">
        <v>74</v>
      </c>
      <c r="B47" s="33">
        <f t="shared" si="0"/>
        <v>2567.9025000000001</v>
      </c>
      <c r="C47" s="34" t="s">
        <v>111</v>
      </c>
      <c r="D47" s="174"/>
    </row>
    <row r="48" spans="1:7">
      <c r="A48" s="171" t="s">
        <v>75</v>
      </c>
      <c r="B48" s="33">
        <f t="shared" si="0"/>
        <v>116.24250000000001</v>
      </c>
      <c r="C48" s="33">
        <f>B48*10</f>
        <v>1162.4250000000002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188339.21073461001</v>
      </c>
      <c r="C5" s="17">
        <f>IF(ISERROR('Eigen informatie GS &amp; warmtenet'!B58),0,'Eigen informatie GS &amp; warmtenet'!B58)</f>
        <v>0</v>
      </c>
      <c r="D5" s="30">
        <f>SUM(D6:D12)</f>
        <v>114514.2505045264</v>
      </c>
      <c r="E5" s="17">
        <f>SUM(E6:E12)</f>
        <v>3350.3060335188356</v>
      </c>
      <c r="F5" s="17">
        <f>SUM(F6:F12)</f>
        <v>47169.824768620922</v>
      </c>
      <c r="G5" s="18"/>
      <c r="H5" s="17"/>
      <c r="I5" s="17"/>
      <c r="J5" s="17">
        <f>SUM(J6:J12)</f>
        <v>0</v>
      </c>
      <c r="K5" s="17"/>
      <c r="L5" s="17"/>
      <c r="M5" s="17"/>
      <c r="N5" s="17">
        <f>SUM(N6:N12)</f>
        <v>3585.7266318775855</v>
      </c>
      <c r="O5" s="17">
        <f>B38*B39*B40</f>
        <v>1.5633333333333335</v>
      </c>
      <c r="P5" s="17">
        <f>B46*B47*B48/1000-B46*B47*B48/1000/B49</f>
        <v>57.2</v>
      </c>
      <c r="R5" s="32"/>
    </row>
    <row r="6" spans="1:18">
      <c r="A6" s="32" t="s">
        <v>54</v>
      </c>
      <c r="B6" s="37">
        <f>B26</f>
        <v>115667.56904</v>
      </c>
      <c r="C6" s="33"/>
      <c r="D6" s="37">
        <f>IF(ISERROR(TER_kantoor_gas_kWh/1000),0,TER_kantoor_gas_kWh/1000)*0.902</f>
        <v>54813.535812419999</v>
      </c>
      <c r="E6" s="33">
        <f>$C$26*'E Balans VL '!I12/100/3.6*1000000</f>
        <v>1514.2309605182252</v>
      </c>
      <c r="F6" s="33">
        <f>$C$26*('E Balans VL '!L12+'E Balans VL '!N12)/100/3.6*1000000</f>
        <v>29494.034841190507</v>
      </c>
      <c r="G6" s="34"/>
      <c r="H6" s="33"/>
      <c r="I6" s="33"/>
      <c r="J6" s="33">
        <f>$C$26*('E Balans VL '!D12+'E Balans VL '!E12)/100/3.6*1000000</f>
        <v>0</v>
      </c>
      <c r="K6" s="33"/>
      <c r="L6" s="33"/>
      <c r="M6" s="33"/>
      <c r="N6" s="33">
        <f>$C$26*'E Balans VL '!Y12/100/3.6*1000000</f>
        <v>116.05707338326226</v>
      </c>
      <c r="O6" s="33"/>
      <c r="P6" s="33"/>
      <c r="R6" s="32"/>
    </row>
    <row r="7" spans="1:18">
      <c r="A7" s="32" t="s">
        <v>53</v>
      </c>
      <c r="B7" s="37">
        <f t="shared" ref="B7:B12" si="0">B27</f>
        <v>7232.7808025000004</v>
      </c>
      <c r="C7" s="33"/>
      <c r="D7" s="37">
        <f>IF(ISERROR(TER_horeca_gas_kWh/1000),0,TER_horeca_gas_kWh/1000)*0.902</f>
        <v>5538.1138369876007</v>
      </c>
      <c r="E7" s="33">
        <f>$C$27*'E Balans VL '!I9/100/3.6*1000000</f>
        <v>239.36104903299989</v>
      </c>
      <c r="F7" s="33">
        <f>$C$27*('E Balans VL '!L9+'E Balans VL '!N9)/100/3.6*1000000</f>
        <v>3110.068025701366</v>
      </c>
      <c r="G7" s="34"/>
      <c r="H7" s="33"/>
      <c r="I7" s="33"/>
      <c r="J7" s="33">
        <f>$C$27*('E Balans VL '!D9+'E Balans VL '!E9)/100/3.6*1000000</f>
        <v>0</v>
      </c>
      <c r="K7" s="33"/>
      <c r="L7" s="33"/>
      <c r="M7" s="33"/>
      <c r="N7" s="33">
        <f>$C$27*'E Balans VL '!Y9/100/3.6*1000000</f>
        <v>1.7410353706652522</v>
      </c>
      <c r="O7" s="33"/>
      <c r="P7" s="33"/>
      <c r="R7" s="32"/>
    </row>
    <row r="8" spans="1:18">
      <c r="A8" s="6" t="s">
        <v>52</v>
      </c>
      <c r="B8" s="37">
        <f t="shared" si="0"/>
        <v>36839.344369000006</v>
      </c>
      <c r="C8" s="33"/>
      <c r="D8" s="37">
        <f>IF(ISERROR(TER_handel_gas_kWh/1000),0,TER_handel_gas_kWh/1000)*0.902</f>
        <v>26349.126119470002</v>
      </c>
      <c r="E8" s="33">
        <f>$C$28*'E Balans VL '!I13/100/3.6*1000000</f>
        <v>1162.7059971283095</v>
      </c>
      <c r="F8" s="33">
        <f>$C$28*('E Balans VL '!L13+'E Balans VL '!N13)/100/3.6*1000000</f>
        <v>7224.8441313403364</v>
      </c>
      <c r="G8" s="34"/>
      <c r="H8" s="33"/>
      <c r="I8" s="33"/>
      <c r="J8" s="33">
        <f>$C$28*('E Balans VL '!D13+'E Balans VL '!E13)/100/3.6*1000000</f>
        <v>0</v>
      </c>
      <c r="K8" s="33"/>
      <c r="L8" s="33"/>
      <c r="M8" s="33"/>
      <c r="N8" s="33">
        <f>$C$28*'E Balans VL '!Y13/100/3.6*1000000</f>
        <v>43.721149495098381</v>
      </c>
      <c r="O8" s="33"/>
      <c r="P8" s="33"/>
      <c r="R8" s="32"/>
    </row>
    <row r="9" spans="1:18">
      <c r="A9" s="32" t="s">
        <v>51</v>
      </c>
      <c r="B9" s="37">
        <f t="shared" si="0"/>
        <v>1958.2305088000001</v>
      </c>
      <c r="C9" s="33"/>
      <c r="D9" s="37">
        <f>IF(ISERROR(TER_gezond_gas_kWh/1000),0,TER_gezond_gas_kWh/1000)*0.902</f>
        <v>2192.2305422314002</v>
      </c>
      <c r="E9" s="33">
        <f>$C$29*'E Balans VL '!I10/100/3.6*1000000</f>
        <v>0.25071079188884909</v>
      </c>
      <c r="F9" s="33">
        <f>$C$29*('E Balans VL '!L10+'E Balans VL '!N10)/100/3.6*1000000</f>
        <v>407.98149194547426</v>
      </c>
      <c r="G9" s="34"/>
      <c r="H9" s="33"/>
      <c r="I9" s="33"/>
      <c r="J9" s="33">
        <f>$C$29*('E Balans VL '!D10+'E Balans VL '!E10)/100/3.6*1000000</f>
        <v>0</v>
      </c>
      <c r="K9" s="33"/>
      <c r="L9" s="33"/>
      <c r="M9" s="33"/>
      <c r="N9" s="33">
        <f>$C$29*'E Balans VL '!Y10/100/3.6*1000000</f>
        <v>23.000342907276782</v>
      </c>
      <c r="O9" s="33"/>
      <c r="P9" s="33"/>
      <c r="R9" s="32"/>
    </row>
    <row r="10" spans="1:18">
      <c r="A10" s="32" t="s">
        <v>50</v>
      </c>
      <c r="B10" s="37">
        <f t="shared" si="0"/>
        <v>1577.9133557</v>
      </c>
      <c r="C10" s="33"/>
      <c r="D10" s="37">
        <f>IF(ISERROR(TER_ander_gas_kWh/1000),0,TER_ander_gas_kWh/1000)*0.902</f>
        <v>3622.7953519384</v>
      </c>
      <c r="E10" s="33">
        <f>$C$30*'E Balans VL '!I14/100/3.6*1000000</f>
        <v>2.3728106160508191</v>
      </c>
      <c r="F10" s="33">
        <f>$C$30*('E Balans VL '!L14+'E Balans VL '!N14)/100/3.6*1000000</f>
        <v>348.35240553745774</v>
      </c>
      <c r="G10" s="34"/>
      <c r="H10" s="33"/>
      <c r="I10" s="33"/>
      <c r="J10" s="33">
        <f>$C$30*('E Balans VL '!D14+'E Balans VL '!E14)/100/3.6*1000000</f>
        <v>0</v>
      </c>
      <c r="K10" s="33"/>
      <c r="L10" s="33"/>
      <c r="M10" s="33"/>
      <c r="N10" s="33">
        <f>$C$30*'E Balans VL '!Y14/100/3.6*1000000</f>
        <v>1243.5019138566934</v>
      </c>
      <c r="O10" s="33"/>
      <c r="P10" s="33"/>
      <c r="R10" s="32"/>
    </row>
    <row r="11" spans="1:18">
      <c r="A11" s="32" t="s">
        <v>55</v>
      </c>
      <c r="B11" s="37">
        <f t="shared" si="0"/>
        <v>624.41079761000003</v>
      </c>
      <c r="C11" s="33"/>
      <c r="D11" s="37">
        <f>IF(ISERROR(TER_onderwijs_gas_kWh/1000),0,TER_onderwijs_gas_kWh/1000)*0.902</f>
        <v>1342.570220453</v>
      </c>
      <c r="E11" s="33">
        <f>$C$31*'E Balans VL '!I11/100/3.6*1000000</f>
        <v>1.0996397400351796</v>
      </c>
      <c r="F11" s="33">
        <f>$C$31*('E Balans VL '!L11+'E Balans VL '!N11)/100/3.6*1000000</f>
        <v>288.3017639512326</v>
      </c>
      <c r="G11" s="34"/>
      <c r="H11" s="33"/>
      <c r="I11" s="33"/>
      <c r="J11" s="33">
        <f>$C$31*('E Balans VL '!D11+'E Balans VL '!E11)/100/3.6*1000000</f>
        <v>0</v>
      </c>
      <c r="K11" s="33"/>
      <c r="L11" s="33"/>
      <c r="M11" s="33"/>
      <c r="N11" s="33">
        <f>$C$31*'E Balans VL '!Y11/100/3.6*1000000</f>
        <v>1.163285950786175</v>
      </c>
      <c r="O11" s="33"/>
      <c r="P11" s="33"/>
      <c r="R11" s="32"/>
    </row>
    <row r="12" spans="1:18">
      <c r="A12" s="32" t="s">
        <v>260</v>
      </c>
      <c r="B12" s="37">
        <f t="shared" si="0"/>
        <v>24438.961861</v>
      </c>
      <c r="C12" s="33"/>
      <c r="D12" s="37">
        <f>IF(ISERROR(TER_rest_gas_kWh/1000),0,TER_rest_gas_kWh/1000)*0.902</f>
        <v>20655.878621026</v>
      </c>
      <c r="E12" s="33">
        <f>$C$32*'E Balans VL '!I8/100/3.6*1000000</f>
        <v>430.28486569132662</v>
      </c>
      <c r="F12" s="33">
        <f>$C$32*('E Balans VL '!L8+'E Balans VL '!N8)/100/3.6*1000000</f>
        <v>6296.2421089545487</v>
      </c>
      <c r="G12" s="34"/>
      <c r="H12" s="33"/>
      <c r="I12" s="33"/>
      <c r="J12" s="33">
        <f>$C$32*('E Balans VL '!D8+'E Balans VL '!E8)/100/3.6*1000000</f>
        <v>0</v>
      </c>
      <c r="K12" s="33"/>
      <c r="L12" s="33"/>
      <c r="M12" s="33"/>
      <c r="N12" s="33">
        <f>$C$32*'E Balans VL '!Y8/100/3.6*1000000</f>
        <v>2156.5418309138031</v>
      </c>
      <c r="O12" s="33"/>
      <c r="P12" s="33"/>
      <c r="R12" s="32"/>
    </row>
    <row r="13" spans="1:18">
      <c r="A13" s="16" t="s">
        <v>491</v>
      </c>
      <c r="B13" s="247">
        <f ca="1">'lokale energieproductie'!N90+'lokale energieproductie'!N59</f>
        <v>801</v>
      </c>
      <c r="C13" s="247">
        <f ca="1">'lokale energieproductie'!O90+'lokale energieproductie'!O59</f>
        <v>1144.2857142857142</v>
      </c>
      <c r="D13" s="310">
        <f ca="1">('lokale energieproductie'!P59+'lokale energieproductie'!P90)*(-1)</f>
        <v>-2288.5714285714289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189140.21073461001</v>
      </c>
      <c r="C16" s="21">
        <f t="shared" ca="1" si="1"/>
        <v>1144.2857142857142</v>
      </c>
      <c r="D16" s="21">
        <f t="shared" ca="1" si="1"/>
        <v>112225.67907595496</v>
      </c>
      <c r="E16" s="21">
        <f t="shared" si="1"/>
        <v>3350.3060335188356</v>
      </c>
      <c r="F16" s="21">
        <f t="shared" ca="1" si="1"/>
        <v>47169.824768620922</v>
      </c>
      <c r="G16" s="21">
        <f t="shared" si="1"/>
        <v>0</v>
      </c>
      <c r="H16" s="21">
        <f t="shared" si="1"/>
        <v>0</v>
      </c>
      <c r="I16" s="21">
        <f t="shared" si="1"/>
        <v>0</v>
      </c>
      <c r="J16" s="21">
        <f t="shared" si="1"/>
        <v>0</v>
      </c>
      <c r="K16" s="21">
        <f t="shared" si="1"/>
        <v>0</v>
      </c>
      <c r="L16" s="21">
        <f t="shared" ca="1" si="1"/>
        <v>0</v>
      </c>
      <c r="M16" s="21">
        <f t="shared" si="1"/>
        <v>0</v>
      </c>
      <c r="N16" s="21">
        <f t="shared" ca="1" si="1"/>
        <v>3585.7266318775855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0.21673688177563191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40993.659493005274</v>
      </c>
      <c r="C20" s="23">
        <f t="shared" ref="C20:P20" ca="1" si="2">C16*C18</f>
        <v>271.93613445378156</v>
      </c>
      <c r="D20" s="23">
        <f t="shared" ca="1" si="2"/>
        <v>22669.587173342905</v>
      </c>
      <c r="E20" s="23">
        <f t="shared" si="2"/>
        <v>760.51946960877569</v>
      </c>
      <c r="F20" s="23">
        <f t="shared" ca="1" si="2"/>
        <v>12594.343213221788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115667.56904</v>
      </c>
      <c r="C26" s="39">
        <f>IF(ISERROR(B26*3.6/1000000/'E Balans VL '!Z12*100),0,B26*3.6/1000000/'E Balans VL '!Z12*100)</f>
        <v>2.4776891874721341</v>
      </c>
      <c r="D26" s="237" t="s">
        <v>660</v>
      </c>
      <c r="F26" s="6"/>
    </row>
    <row r="27" spans="1:18">
      <c r="A27" s="231" t="s">
        <v>53</v>
      </c>
      <c r="B27" s="33">
        <f>IF(ISERROR(TER_horeca_ele_kWh/1000),0,TER_horeca_ele_kWh/1000)</f>
        <v>7232.7808025000004</v>
      </c>
      <c r="C27" s="39">
        <f>IF(ISERROR(B27*3.6/1000000/'E Balans VL '!Z9*100),0,B27*3.6/1000000/'E Balans VL '!Z9*100)</f>
        <v>0.58040551851117284</v>
      </c>
      <c r="D27" s="237" t="s">
        <v>660</v>
      </c>
      <c r="F27" s="6"/>
    </row>
    <row r="28" spans="1:18">
      <c r="A28" s="171" t="s">
        <v>52</v>
      </c>
      <c r="B28" s="33">
        <f>IF(ISERROR(TER_handel_ele_kWh/1000),0,TER_handel_ele_kWh/1000)</f>
        <v>36839.344369000006</v>
      </c>
      <c r="C28" s="39">
        <f>IF(ISERROR(B28*3.6/1000000/'E Balans VL '!Z13*100),0,B28*3.6/1000000/'E Balans VL '!Z13*100)</f>
        <v>1.0865493568343538</v>
      </c>
      <c r="D28" s="237" t="s">
        <v>660</v>
      </c>
      <c r="F28" s="6"/>
    </row>
    <row r="29" spans="1:18">
      <c r="A29" s="231" t="s">
        <v>51</v>
      </c>
      <c r="B29" s="33">
        <f>IF(ISERROR(TER_gezond_ele_kWh/1000),0,TER_gezond_ele_kWh/1000)</f>
        <v>1958.2305088000001</v>
      </c>
      <c r="C29" s="39">
        <f>IF(ISERROR(B29*3.6/1000000/'E Balans VL '!Z10*100),0,B29*3.6/1000000/'E Balans VL '!Z10*100)</f>
        <v>0.20908651621108545</v>
      </c>
      <c r="D29" s="237" t="s">
        <v>660</v>
      </c>
      <c r="F29" s="6"/>
    </row>
    <row r="30" spans="1:18">
      <c r="A30" s="231" t="s">
        <v>50</v>
      </c>
      <c r="B30" s="33">
        <f>IF(ISERROR(TER_ander_ele_kWh/1000),0,TER_ander_ele_kWh/1000)</f>
        <v>1577.9133557</v>
      </c>
      <c r="C30" s="39">
        <f>IF(ISERROR(B30*3.6/1000000/'E Balans VL '!Z14*100),0,B30*3.6/1000000/'E Balans VL '!Z14*100)</f>
        <v>0.11918599197183409</v>
      </c>
      <c r="D30" s="237" t="s">
        <v>660</v>
      </c>
      <c r="F30" s="6"/>
    </row>
    <row r="31" spans="1:18">
      <c r="A31" s="231" t="s">
        <v>55</v>
      </c>
      <c r="B31" s="33">
        <f>IF(ISERROR(TER_onderwijs_ele_kWh/1000),0,TER_onderwijs_ele_kWh/1000)</f>
        <v>624.41079761000003</v>
      </c>
      <c r="C31" s="39">
        <f>IF(ISERROR(B31*3.6/1000000/'E Balans VL '!Z11*100),0,B31*3.6/1000000/'E Balans VL '!Z11*100)</f>
        <v>0.12608938448020424</v>
      </c>
      <c r="D31" s="237" t="s">
        <v>660</v>
      </c>
    </row>
    <row r="32" spans="1:18">
      <c r="A32" s="231" t="s">
        <v>260</v>
      </c>
      <c r="B32" s="33">
        <f>IF(ISERROR(TER_rest_ele_kWh/1000),0,TER_rest_ele_kWh/1000)</f>
        <v>24438.961861</v>
      </c>
      <c r="C32" s="39">
        <f>IF(ISERROR(B32*3.6/1000000/'E Balans VL '!Z8*100),0,B32*3.6/1000000/'E Balans VL '!Z8*100)</f>
        <v>0.20263302483657766</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43047.059405509994</v>
      </c>
      <c r="C5" s="17">
        <f>IF(ISERROR('Eigen informatie GS &amp; warmtenet'!B59),0,'Eigen informatie GS &amp; warmtenet'!B59)</f>
        <v>0</v>
      </c>
      <c r="D5" s="30">
        <f>SUM(D6:D15)</f>
        <v>24534.55639086166</v>
      </c>
      <c r="E5" s="17">
        <f>SUM(E6:E15)</f>
        <v>2066.2202484596155</v>
      </c>
      <c r="F5" s="17">
        <f>SUM(F6:F15)</f>
        <v>17961.067659483615</v>
      </c>
      <c r="G5" s="18"/>
      <c r="H5" s="17"/>
      <c r="I5" s="17"/>
      <c r="J5" s="17">
        <f>SUM(J6:J15)</f>
        <v>114.72819605917545</v>
      </c>
      <c r="K5" s="17"/>
      <c r="L5" s="17"/>
      <c r="M5" s="17"/>
      <c r="N5" s="17">
        <f>SUM(N6:N15)</f>
        <v>5957.6147047176837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33867.536358999998</v>
      </c>
      <c r="C8" s="33"/>
      <c r="D8" s="37">
        <f>IF( ISERROR(IND_metaal_Gas_kWH/1000),0,IND_metaal_Gas_kWH/1000)*0.902</f>
        <v>12075.284294084002</v>
      </c>
      <c r="E8" s="33">
        <f>C30*'E Balans VL '!I18/100/3.6*1000000</f>
        <v>1218.6564144396102</v>
      </c>
      <c r="F8" s="33">
        <f>C30*'E Balans VL '!L18/100/3.6*1000000+C30*'E Balans VL '!N18/100/3.6*1000000</f>
        <v>14788.855260565955</v>
      </c>
      <c r="G8" s="34"/>
      <c r="H8" s="33"/>
      <c r="I8" s="33"/>
      <c r="J8" s="40">
        <f>C30*'E Balans VL '!D18/100/3.6*1000000+C30*'E Balans VL '!E18/100/3.6*1000000</f>
        <v>0</v>
      </c>
      <c r="K8" s="33"/>
      <c r="L8" s="33"/>
      <c r="M8" s="33"/>
      <c r="N8" s="33">
        <f>C30*'E Balans VL '!Y18/100/3.6*1000000</f>
        <v>1697.417906883418</v>
      </c>
      <c r="O8" s="33"/>
      <c r="P8" s="33"/>
      <c r="R8" s="32"/>
    </row>
    <row r="9" spans="1:18">
      <c r="A9" s="6" t="s">
        <v>33</v>
      </c>
      <c r="B9" s="37">
        <f t="shared" si="0"/>
        <v>2384.2924690999998</v>
      </c>
      <c r="C9" s="33"/>
      <c r="D9" s="37">
        <f>IF( ISERROR(IND_andere_gas_kWh/1000),0,IND_andere_gas_kWh/1000)*0.902</f>
        <v>7544.3767311813999</v>
      </c>
      <c r="E9" s="33">
        <f>C31*'E Balans VL '!I19/100/3.6*1000000</f>
        <v>608.41749198623165</v>
      </c>
      <c r="F9" s="33">
        <f>C31*'E Balans VL '!L19/100/3.6*1000000+C31*'E Balans VL '!N19/100/3.6*1000000</f>
        <v>2052.6966055060211</v>
      </c>
      <c r="G9" s="34"/>
      <c r="H9" s="33"/>
      <c r="I9" s="33"/>
      <c r="J9" s="40">
        <f>C31*'E Balans VL '!D19/100/3.6*1000000+C31*'E Balans VL '!E19/100/3.6*1000000</f>
        <v>0</v>
      </c>
      <c r="K9" s="33"/>
      <c r="L9" s="33"/>
      <c r="M9" s="33"/>
      <c r="N9" s="33">
        <f>C31*'E Balans VL '!Y19/100/3.6*1000000</f>
        <v>745.64990857684597</v>
      </c>
      <c r="O9" s="33"/>
      <c r="P9" s="33"/>
      <c r="R9" s="32"/>
    </row>
    <row r="10" spans="1:18">
      <c r="A10" s="6" t="s">
        <v>41</v>
      </c>
      <c r="B10" s="37">
        <f t="shared" si="0"/>
        <v>1208.6423457999999</v>
      </c>
      <c r="C10" s="33"/>
      <c r="D10" s="37">
        <f>IF( ISERROR(IND_voed_gas_kWh/1000),0,IND_voed_gas_kWh/1000)*0.902</f>
        <v>959.36720568259989</v>
      </c>
      <c r="E10" s="33">
        <f>C32*'E Balans VL '!I20/100/3.6*1000000</f>
        <v>30.725348032178356</v>
      </c>
      <c r="F10" s="33">
        <f>C32*'E Balans VL '!L20/100/3.6*1000000+C32*'E Balans VL '!N20/100/3.6*1000000</f>
        <v>273.49761956825148</v>
      </c>
      <c r="G10" s="34"/>
      <c r="H10" s="33"/>
      <c r="I10" s="33"/>
      <c r="J10" s="40">
        <f>C32*'E Balans VL '!D20/100/3.6*1000000+C32*'E Balans VL '!E20/100/3.6*1000000</f>
        <v>0</v>
      </c>
      <c r="K10" s="33"/>
      <c r="L10" s="33"/>
      <c r="M10" s="33"/>
      <c r="N10" s="33">
        <f>C32*'E Balans VL '!Y20/100/3.6*1000000</f>
        <v>453.27364121441411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1264.0742197</v>
      </c>
      <c r="C13" s="33"/>
      <c r="D13" s="37">
        <f>IF( ISERROR(IND_papier_gas_kWh/1000),0,IND_papier_gas_kWh/1000)*0.902</f>
        <v>118.43573050825999</v>
      </c>
      <c r="E13" s="33">
        <f>C35*'E Balans VL '!I23/100/3.6*1000000</f>
        <v>5.4212465866230364</v>
      </c>
      <c r="F13" s="33">
        <f>C35*'E Balans VL '!L23/100/3.6*1000000+C35*'E Balans VL '!N23/100/3.6*1000000</f>
        <v>31.770108577672808</v>
      </c>
      <c r="G13" s="34"/>
      <c r="H13" s="33"/>
      <c r="I13" s="33"/>
      <c r="J13" s="40">
        <f>C35*'E Balans VL '!D23/100/3.6*1000000+C35*'E Balans VL '!E23/100/3.6*1000000</f>
        <v>84.622835847022216</v>
      </c>
      <c r="K13" s="33"/>
      <c r="L13" s="33"/>
      <c r="M13" s="33"/>
      <c r="N13" s="33">
        <f>C35*'E Balans VL '!Y23/100/3.6*1000000</f>
        <v>2300.9156881723643</v>
      </c>
      <c r="O13" s="33"/>
      <c r="P13" s="33"/>
      <c r="R13" s="32"/>
    </row>
    <row r="14" spans="1:18">
      <c r="A14" s="6" t="s">
        <v>34</v>
      </c>
      <c r="B14" s="37">
        <f t="shared" si="0"/>
        <v>609.06500251</v>
      </c>
      <c r="C14" s="33"/>
      <c r="D14" s="37">
        <f>IF( ISERROR(IND_chemie_gas_kWh/1000),0,IND_chemie_gas_kWh/1000)*0.902</f>
        <v>0</v>
      </c>
      <c r="E14" s="33">
        <f>C36*'E Balans VL '!I24/100/3.6*1000000</f>
        <v>1.4601379415118134</v>
      </c>
      <c r="F14" s="33">
        <f>C36*'E Balans VL '!L24/100/3.6*1000000+C36*'E Balans VL '!N24/100/3.6*1000000</f>
        <v>4.8878844182220602</v>
      </c>
      <c r="G14" s="34"/>
      <c r="H14" s="33"/>
      <c r="I14" s="33"/>
      <c r="J14" s="40">
        <f>C36*'E Balans VL '!D24/100/3.6*1000000+C36*'E Balans VL '!E24/100/3.6*1000000</f>
        <v>0</v>
      </c>
      <c r="K14" s="33"/>
      <c r="L14" s="33"/>
      <c r="M14" s="33"/>
      <c r="N14" s="33">
        <f>C36*'E Balans VL '!Y24/100/3.6*1000000</f>
        <v>12.58890141767421</v>
      </c>
      <c r="O14" s="33"/>
      <c r="P14" s="33"/>
      <c r="R14" s="32"/>
    </row>
    <row r="15" spans="1:18">
      <c r="A15" s="6" t="s">
        <v>270</v>
      </c>
      <c r="B15" s="37">
        <f t="shared" si="0"/>
        <v>3713.4490093999998</v>
      </c>
      <c r="C15" s="33"/>
      <c r="D15" s="37">
        <f>IF( ISERROR(IND_rest_gas_kWh/1000),0,IND_rest_gas_kWh/1000)*0.902</f>
        <v>3837.0924294054003</v>
      </c>
      <c r="E15" s="33">
        <f>C37*'E Balans VL '!I15/100/3.6*1000000</f>
        <v>201.53960947346047</v>
      </c>
      <c r="F15" s="33">
        <f>C37*'E Balans VL '!L15/100/3.6*1000000+C37*'E Balans VL '!N15/100/3.6*1000000</f>
        <v>809.36018084749708</v>
      </c>
      <c r="G15" s="34"/>
      <c r="H15" s="33"/>
      <c r="I15" s="33"/>
      <c r="J15" s="40">
        <f>C37*'E Balans VL '!D15/100/3.6*1000000+C37*'E Balans VL '!E15/100/3.6*1000000</f>
        <v>30.105360212153229</v>
      </c>
      <c r="K15" s="33"/>
      <c r="L15" s="33"/>
      <c r="M15" s="33"/>
      <c r="N15" s="33">
        <f>C37*'E Balans VL '!Y15/100/3.6*1000000</f>
        <v>747.76865845296652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43047.059405509994</v>
      </c>
      <c r="C18" s="21">
        <f>C5+C16</f>
        <v>0</v>
      </c>
      <c r="D18" s="21">
        <f>MAX((D5+D16),0)</f>
        <v>24534.55639086166</v>
      </c>
      <c r="E18" s="21">
        <f>MAX((E5+E16),0)</f>
        <v>2066.2202484596155</v>
      </c>
      <c r="F18" s="21">
        <f>MAX((F5+F16),0)</f>
        <v>17961.067659483615</v>
      </c>
      <c r="G18" s="21"/>
      <c r="H18" s="21"/>
      <c r="I18" s="21"/>
      <c r="J18" s="21">
        <f>MAX((J5+J16),0)</f>
        <v>114.72819605917545</v>
      </c>
      <c r="K18" s="21"/>
      <c r="L18" s="21">
        <f>MAX((L5+L16),0)</f>
        <v>0</v>
      </c>
      <c r="M18" s="21"/>
      <c r="N18" s="21">
        <f>MAX((N5+N16),0)</f>
        <v>5957.6147047176837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0.21673688177563191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9329.8854251606226</v>
      </c>
      <c r="C22" s="23">
        <f ca="1">C18*C20</f>
        <v>0</v>
      </c>
      <c r="D22" s="23">
        <f>D18*D20</f>
        <v>4955.980390954056</v>
      </c>
      <c r="E22" s="23">
        <f>E18*E20</f>
        <v>469.03199640033273</v>
      </c>
      <c r="F22" s="23">
        <f>F18*F20</f>
        <v>4795.6050650821253</v>
      </c>
      <c r="G22" s="23"/>
      <c r="H22" s="23"/>
      <c r="I22" s="23"/>
      <c r="J22" s="23">
        <f>J18*J20</f>
        <v>40.613781404948107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33867.536358999998</v>
      </c>
      <c r="C30" s="39">
        <f>IF(ISERROR(B30*3.6/1000000/'E Balans VL '!Z18*100),0,B30*3.6/1000000/'E Balans VL '!Z18*100)</f>
        <v>7.1758048536293444</v>
      </c>
      <c r="D30" s="237" t="s">
        <v>660</v>
      </c>
    </row>
    <row r="31" spans="1:18">
      <c r="A31" s="6" t="s">
        <v>33</v>
      </c>
      <c r="B31" s="37">
        <f>IF( ISERROR(IND_ander_ele_kWh/1000),0,IND_ander_ele_kWh/1000)</f>
        <v>2384.2924690999998</v>
      </c>
      <c r="C31" s="39">
        <f>IF(ISERROR(B31*3.6/1000000/'E Balans VL '!Z19*100),0,B31*3.6/1000000/'E Balans VL '!Z19*100)</f>
        <v>0.10036028395420309</v>
      </c>
      <c r="D31" s="237" t="s">
        <v>660</v>
      </c>
    </row>
    <row r="32" spans="1:18">
      <c r="A32" s="171" t="s">
        <v>41</v>
      </c>
      <c r="B32" s="37">
        <f>IF( ISERROR(IND_voed_ele_kWh/1000),0,IND_voed_ele_kWh/1000)</f>
        <v>1208.6423457999999</v>
      </c>
      <c r="C32" s="39">
        <f>IF(ISERROR(B32*3.6/1000000/'E Balans VL '!Z20*100),0,B32*3.6/1000000/'E Balans VL '!Z20*100)</f>
        <v>0.20191737871352219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1264.0742197</v>
      </c>
      <c r="C35" s="39">
        <f>IF(ISERROR(B35*3.6/1000000/'E Balans VL '!Z22*100),0,B35*3.6/1000000/'E Balans VL '!Z22*100)</f>
        <v>0.16022822447910773</v>
      </c>
      <c r="D35" s="237" t="s">
        <v>660</v>
      </c>
    </row>
    <row r="36" spans="1:5">
      <c r="A36" s="171" t="s">
        <v>34</v>
      </c>
      <c r="B36" s="37">
        <f>IF( ISERROR(IND_chemie_ele_kWh/1000),0,IND_chemie_ele_kWh/1000)</f>
        <v>609.06500251</v>
      </c>
      <c r="C36" s="39">
        <f>IF(ISERROR(B36*3.6/1000000/'E Balans VL '!Z24*100),0,B36*3.6/1000000/'E Balans VL '!Z24*100)</f>
        <v>1.9782450922481327E-2</v>
      </c>
      <c r="D36" s="237" t="s">
        <v>660</v>
      </c>
    </row>
    <row r="37" spans="1:5">
      <c r="A37" s="171" t="s">
        <v>270</v>
      </c>
      <c r="B37" s="37">
        <f>IF( ISERROR(IND_rest_ele_kWh/1000),0,IND_rest_ele_kWh/1000)</f>
        <v>3713.4490093999998</v>
      </c>
      <c r="C37" s="39">
        <f>IF(ISERROR(B37*3.6/1000000/'E Balans VL '!Z15*100),0,B37*3.6/1000000/'E Balans VL '!Z15*100)</f>
        <v>2.998011176624759E-2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731.88341970800002</v>
      </c>
      <c r="C5" s="17">
        <f>'Eigen informatie GS &amp; warmtenet'!B60</f>
        <v>0</v>
      </c>
      <c r="D5" s="30">
        <f>IF(ISERROR(SUM(LB_lb_gas_kWh,LB_rest_gas_kWh,onbekend_gas_kWh)/1000),0,SUM(LB_lb_gas_kWh,LB_rest_gas_kWh,onbekend_gas_kWh)/1000)*0.902</f>
        <v>12428.526889474299</v>
      </c>
      <c r="E5" s="17">
        <f>B17*'E Balans VL '!I25/3.6*1000000/100</f>
        <v>18.872463286827532</v>
      </c>
      <c r="F5" s="17">
        <f>B17*('E Balans VL '!L25/3.6*1000000+'E Balans VL '!N25/3.6*1000000)/100</f>
        <v>2675.1732794593208</v>
      </c>
      <c r="G5" s="18"/>
      <c r="H5" s="17"/>
      <c r="I5" s="17"/>
      <c r="J5" s="17">
        <f>('E Balans VL '!D25+'E Balans VL '!E25)/3.6*1000000*landbouw!B17/100</f>
        <v>105.36428889357299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731.88341970800002</v>
      </c>
      <c r="C8" s="21">
        <f>C5+C6</f>
        <v>0</v>
      </c>
      <c r="D8" s="21">
        <f>MAX((D5+D6),0)</f>
        <v>12428.526889474299</v>
      </c>
      <c r="E8" s="21">
        <f>MAX((E5+E6),0)</f>
        <v>18.872463286827532</v>
      </c>
      <c r="F8" s="21">
        <f>MAX((F5+F6),0)</f>
        <v>2675.1732794593208</v>
      </c>
      <c r="G8" s="21"/>
      <c r="H8" s="21"/>
      <c r="I8" s="21"/>
      <c r="J8" s="21">
        <f>MAX((J5+J6),0)</f>
        <v>105.36428889357299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0.21673688177563191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158.62613021079798</v>
      </c>
      <c r="C12" s="23">
        <f ca="1">C8*C10</f>
        <v>0</v>
      </c>
      <c r="D12" s="23">
        <f>D8*D10</f>
        <v>2510.5624316738085</v>
      </c>
      <c r="E12" s="23">
        <f>E8*E10</f>
        <v>4.2840491661098499</v>
      </c>
      <c r="F12" s="23">
        <f>F8*F10</f>
        <v>714.27126561563875</v>
      </c>
      <c r="G12" s="23"/>
      <c r="H12" s="23"/>
      <c r="I12" s="23"/>
      <c r="J12" s="23">
        <f>J8*J10</f>
        <v>37.298958268324839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0.1032004100658966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1.5255003345812821</v>
      </c>
      <c r="C26" s="247">
        <f>B26*'GWP N2O_CH4'!B5</f>
        <v>32.035507026206922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0.10299612961958358</v>
      </c>
      <c r="C27" s="247">
        <f>B27*'GWP N2O_CH4'!B5</f>
        <v>2.1629187220112551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1.8296463590030808E-2</v>
      </c>
      <c r="C28" s="247">
        <f>B28*'GWP N2O_CH4'!B4</f>
        <v>5.6719037129095504</v>
      </c>
      <c r="D28" s="50"/>
    </row>
    <row r="29" spans="1:4">
      <c r="A29" s="41" t="s">
        <v>277</v>
      </c>
      <c r="B29" s="247">
        <f>B34*'ha_N2O bodem landbouw'!B4</f>
        <v>4.8531423550638406</v>
      </c>
      <c r="C29" s="247">
        <f>B29*'GWP N2O_CH4'!B4</f>
        <v>1504.4741300697906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1.0922207573166097E-3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5.4294149660232861E-4</v>
      </c>
      <c r="C5" s="463" t="s">
        <v>211</v>
      </c>
      <c r="D5" s="448">
        <f>SUM(D6:D11)</f>
        <v>1.1709904006708162E-3</v>
      </c>
      <c r="E5" s="448">
        <f>SUM(E6:E11)</f>
        <v>5.3898772354801679E-3</v>
      </c>
      <c r="F5" s="461" t="s">
        <v>211</v>
      </c>
      <c r="G5" s="448">
        <f>SUM(G6:G11)</f>
        <v>1.5975144931526308</v>
      </c>
      <c r="H5" s="448">
        <f>SUM(H6:H11)</f>
        <v>0.32572497164174929</v>
      </c>
      <c r="I5" s="463" t="s">
        <v>211</v>
      </c>
      <c r="J5" s="463" t="s">
        <v>211</v>
      </c>
      <c r="K5" s="463" t="s">
        <v>211</v>
      </c>
      <c r="L5" s="463" t="s">
        <v>211</v>
      </c>
      <c r="M5" s="448">
        <f>SUM(M6:M11)</f>
        <v>6.0089301493479047E-2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1.0109414431552205E-4</v>
      </c>
      <c r="C6" s="449"/>
      <c r="D6" s="962">
        <f>vkm_2011_GW_PW*SUMIFS(TableVerdeelsleutelVkm[CNG],TableVerdeelsleutelVkm[Voertuigtype],"Lichte voertuigen")*SUMIFS(TableECFTransport[EnergieConsumptieFactor (PJ per km)],TableECFTransport[Index],CONCATENATE($A6,"_CNG_CNG"))</f>
        <v>2.0087583557400505E-4</v>
      </c>
      <c r="E6" s="962">
        <f>vkm_2011_GW_PW*SUMIFS(TableVerdeelsleutelVkm[LPG],TableVerdeelsleutelVkm[Voertuigtype],"Lichte voertuigen")*SUMIFS(TableECFTransport[EnergieConsumptieFactor (PJ per km)],TableECFTransport[Index],CONCATENATE($A6,"_LPG_LPG"))</f>
        <v>7.9051842157267763E-4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0.18795815638127647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5.4383131905793636E-2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7.5515783242426412E-3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4.3534209144948086E-2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1.4063409052599351E-5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1.371696319505856E-3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3.5482332039997775E-5</v>
      </c>
      <c r="C8" s="449"/>
      <c r="D8" s="451">
        <f>vkm_2011_NGW_PW*SUMIFS(TableVerdeelsleutelVkm[CNG],TableVerdeelsleutelVkm[Voertuigtype],"Lichte voertuigen")*SUMIFS(TableECFTransport[EnergieConsumptieFactor (PJ per km)],TableECFTransport[Index],CONCATENATE($A8,"_CNG_CNG"))</f>
        <v>1.2483689189904263E-4</v>
      </c>
      <c r="E8" s="451">
        <f>vkm_2011_NGW_PW*SUMIFS(TableVerdeelsleutelVkm[LPG],TableVerdeelsleutelVkm[Voertuigtype],"Lichte voertuigen")*SUMIFS(TableECFTransport[EnergieConsumptieFactor (PJ per km)],TableECFTransport[Index],CONCATENATE($A8,"_LPG_LPG"))</f>
        <v>4.5434528476710246E-4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0.10087742532925535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3.2771512151438767E-2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4.1604392726151225E-3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1.7475933523017839E-3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5.3390458715634174E-7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5.5063073506505717E-5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4.0636502024680879E-4</v>
      </c>
      <c r="C10" s="449"/>
      <c r="D10" s="451">
        <f>vkm_2011_SW_PW*SUMIFS(TableVerdeelsleutelVkm[CNG],TableVerdeelsleutelVkm[Voertuigtype],"Lichte voertuigen")*SUMIFS(TableECFTransport[EnergieConsumptieFactor (PJ per km)],TableECFTransport[Index],CONCATENATE($A10,"_CNG_CNG"))</f>
        <v>8.4527767319776844E-4</v>
      </c>
      <c r="E10" s="451">
        <f>vkm_2011_SW_PW*SUMIFS(TableVerdeelsleutelVkm[LPG],TableVerdeelsleutelVkm[Voertuigtype],"Lichte voertuigen")*SUMIFS(TableECFTransport[EnergieConsumptieFactor (PJ per km)],TableECFTransport[Index],CONCATENATE($A10,"_LPG_LPG"))</f>
        <v>4.1450135291403872E-3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0.8828402902211604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0.23842327423920401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3.4959475893266811E-2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0.38055681872368879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1.324560316731129E-4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1.1991048610342106E-2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150.81708238953573</v>
      </c>
      <c r="C14" s="21"/>
      <c r="D14" s="21">
        <f t="shared" ref="D14:M14" si="0">((D5)*10^9/3600)+D12</f>
        <v>325.27511129744892</v>
      </c>
      <c r="E14" s="21">
        <f t="shared" si="0"/>
        <v>1497.1881209667133</v>
      </c>
      <c r="F14" s="21"/>
      <c r="G14" s="21">
        <f t="shared" si="0"/>
        <v>443754.02587573079</v>
      </c>
      <c r="H14" s="21">
        <f t="shared" si="0"/>
        <v>90479.158789374807</v>
      </c>
      <c r="I14" s="21"/>
      <c r="J14" s="21"/>
      <c r="K14" s="21"/>
      <c r="L14" s="21"/>
      <c r="M14" s="21">
        <f t="shared" si="0"/>
        <v>16691.472637077513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0.21673688177563191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32.687624155606542</v>
      </c>
      <c r="C18" s="23"/>
      <c r="D18" s="23">
        <f t="shared" ref="D18:M18" si="1">D14*D16</f>
        <v>65.70557248208469</v>
      </c>
      <c r="E18" s="23">
        <f t="shared" si="1"/>
        <v>339.86170345944396</v>
      </c>
      <c r="F18" s="23"/>
      <c r="G18" s="23">
        <f t="shared" si="1"/>
        <v>118482.32490882013</v>
      </c>
      <c r="H18" s="23">
        <f t="shared" si="1"/>
        <v>22529.310538554328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3.3586992614033792E-2</v>
      </c>
      <c r="H50" s="321">
        <f t="shared" si="2"/>
        <v>0</v>
      </c>
      <c r="I50" s="321">
        <f t="shared" si="2"/>
        <v>0</v>
      </c>
      <c r="J50" s="321">
        <f t="shared" si="2"/>
        <v>0</v>
      </c>
      <c r="K50" s="321">
        <f t="shared" si="2"/>
        <v>0</v>
      </c>
      <c r="L50" s="321">
        <f t="shared" si="2"/>
        <v>0</v>
      </c>
      <c r="M50" s="321">
        <f t="shared" si="2"/>
        <v>1.0417933706690578E-3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3.3586992614033792E-2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1.0417933706690578E-3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9329.7201705649404</v>
      </c>
      <c r="H54" s="21">
        <f t="shared" si="3"/>
        <v>0</v>
      </c>
      <c r="I54" s="21">
        <f t="shared" si="3"/>
        <v>0</v>
      </c>
      <c r="J54" s="21">
        <f t="shared" si="3"/>
        <v>0</v>
      </c>
      <c r="K54" s="21">
        <f t="shared" si="3"/>
        <v>0</v>
      </c>
      <c r="L54" s="21">
        <f t="shared" si="3"/>
        <v>0</v>
      </c>
      <c r="M54" s="21">
        <f t="shared" si="3"/>
        <v>289.38704740807162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0.21673688177563191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2491.0352855408391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5561.1523075926216</v>
      </c>
      <c r="C6" s="1203"/>
      <c r="D6" s="1188"/>
      <c r="E6" s="1188"/>
      <c r="F6" s="1206"/>
      <c r="G6" s="1209"/>
      <c r="H6" s="1200"/>
      <c r="I6" s="1188"/>
      <c r="J6" s="1188"/>
      <c r="K6" s="1188"/>
      <c r="L6" s="1192"/>
      <c r="M6" s="575"/>
      <c r="N6" s="1166"/>
      <c r="O6" s="1167"/>
      <c r="Q6" s="573"/>
      <c r="R6" s="1154"/>
      <c r="S6" s="1154"/>
    </row>
    <row r="7" spans="1:19" s="563" customFormat="1">
      <c r="A7" s="576" t="s">
        <v>252</v>
      </c>
      <c r="B7" s="577">
        <f>N57</f>
        <v>801</v>
      </c>
      <c r="C7" s="578">
        <f>B100</f>
        <v>942.35294117647084</v>
      </c>
      <c r="D7" s="579"/>
      <c r="E7" s="579">
        <f>E100</f>
        <v>0</v>
      </c>
      <c r="F7" s="580"/>
      <c r="G7" s="581"/>
      <c r="H7" s="579">
        <f>I100</f>
        <v>0</v>
      </c>
      <c r="I7" s="579">
        <f>G100+F100</f>
        <v>0</v>
      </c>
      <c r="J7" s="579">
        <f>H100+D100+C100</f>
        <v>0</v>
      </c>
      <c r="K7" s="579"/>
      <c r="L7" s="582"/>
      <c r="M7" s="583">
        <f>C7*$C$11+D7*$D$11+E7*$E$11+F7*$F$11+G7*$G$11+H7*$H$11+I7*$I$11+J7*$J$11</f>
        <v>190.35529411764713</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6362.1523075926216</v>
      </c>
      <c r="C9" s="594">
        <f t="shared" ref="C9:L9" si="0">SUM(C7:C8)</f>
        <v>942.35294117647084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190.35529411764713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1144.2857142857142</v>
      </c>
      <c r="C16" s="610">
        <f>B101</f>
        <v>1346.2184873949582</v>
      </c>
      <c r="D16" s="611"/>
      <c r="E16" s="611">
        <f>E101</f>
        <v>0</v>
      </c>
      <c r="F16" s="612"/>
      <c r="G16" s="613"/>
      <c r="H16" s="610">
        <f>I101</f>
        <v>0</v>
      </c>
      <c r="I16" s="611">
        <f>G101+F101</f>
        <v>0</v>
      </c>
      <c r="J16" s="611">
        <f>H101+D101+C101</f>
        <v>0</v>
      </c>
      <c r="K16" s="611"/>
      <c r="L16" s="614"/>
      <c r="M16" s="615">
        <f>C16*$C$21+E16*$E$21+H16*$H$21+I16*$I$21+J16*$J$21+D16*$D$21+F16*$F$21+G16*$G$21+K16*$K$21+L16*$L$21</f>
        <v>271.93613445378156</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1144.2857142857142</v>
      </c>
      <c r="C19" s="593">
        <f>SUM(C16:C18)</f>
        <v>1346.2184873949582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271.93613445378156</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23094</v>
      </c>
      <c r="C27" s="851">
        <v>1932</v>
      </c>
      <c r="D27" s="672" t="s">
        <v>818</v>
      </c>
      <c r="E27" s="671" t="s">
        <v>819</v>
      </c>
      <c r="F27" s="671" t="s">
        <v>820</v>
      </c>
      <c r="G27" s="671" t="s">
        <v>821</v>
      </c>
      <c r="H27" s="671" t="s">
        <v>822</v>
      </c>
      <c r="I27" s="671" t="s">
        <v>823</v>
      </c>
      <c r="J27" s="850">
        <v>40584</v>
      </c>
      <c r="K27" s="850">
        <v>40756</v>
      </c>
      <c r="L27" s="671" t="s">
        <v>824</v>
      </c>
      <c r="M27" s="671">
        <v>178</v>
      </c>
      <c r="N27" s="671">
        <v>801</v>
      </c>
      <c r="O27" s="671">
        <v>1144.2857142857142</v>
      </c>
      <c r="P27" s="671">
        <v>2288.5714285714289</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178</v>
      </c>
      <c r="N57" s="629">
        <f>SUM(N27:N56)</f>
        <v>801</v>
      </c>
      <c r="O57" s="629">
        <f t="shared" ref="O57:W57" si="2">SUM(O27:O56)</f>
        <v>1144.2857142857142</v>
      </c>
      <c r="P57" s="629">
        <f t="shared" si="2"/>
        <v>2288.5714285714289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178</v>
      </c>
      <c r="N59" s="629">
        <f ca="1">SUMIF($Z$27:AB56,"tertiair",N27:N56)</f>
        <v>801</v>
      </c>
      <c r="O59" s="629">
        <f ca="1">SUMIF($Z$27:AC56,"tertiair",O27:O56)</f>
        <v>1144.2857142857142</v>
      </c>
      <c r="P59" s="629">
        <f ca="1">SUMIF($Z$27:AD56,"tertiair",P27:P56)</f>
        <v>2288.5714285714289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942.35294117647084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1346.2184873949582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2018-06-27T09:41:42Z</dcterms:modified>
</cp:coreProperties>
</file>