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J15"/>
  <c r="F16"/>
  <c r="L16"/>
  <c r="L18" s="1"/>
  <c r="M13" i="14" s="1"/>
  <c r="C13" i="15"/>
  <c r="C16" s="1"/>
  <c r="D10" i="14" s="1"/>
  <c r="L6" i="17"/>
  <c r="L5" s="1"/>
  <c r="B8" i="9"/>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I20" i="15"/>
  <c r="J36" i="14" s="1"/>
  <c r="J41" s="1"/>
  <c r="J53" s="1"/>
  <c r="J7" i="48"/>
  <c r="J24" s="1"/>
  <c r="I5"/>
  <c r="I22" s="1"/>
  <c r="I31" s="1"/>
  <c r="L22" i="16"/>
  <c r="M39" i="14"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E12" i="17"/>
  <c r="F48" i="14" s="1"/>
  <c r="C5" i="48"/>
  <c r="N7" l="1"/>
  <c r="N24" s="1"/>
  <c r="H14" i="22"/>
  <c r="I19" i="14" s="1"/>
  <c r="I20" s="1"/>
  <c r="I23" s="1"/>
  <c r="I14" i="48"/>
  <c r="E7"/>
  <c r="E24" s="1"/>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B22" i="6"/>
  <c r="C10" i="17" s="1"/>
  <c r="C12" s="1"/>
  <c r="D48" i="14"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8" i="15"/>
  <c r="C20" s="1"/>
  <c r="D36" i="14" s="1"/>
  <c r="C20" i="16"/>
  <c r="C22" s="1"/>
  <c r="D39" i="14" s="1"/>
  <c r="C17" i="19"/>
  <c r="C19" s="1"/>
  <c r="D35" i="14" s="1"/>
  <c r="C29" i="20"/>
  <c r="Q5" i="48"/>
  <c r="O13" i="14"/>
  <c r="O15" s="1"/>
  <c r="F22" i="16"/>
  <c r="G39" i="14" s="1"/>
  <c r="G41" s="1"/>
  <c r="N22" i="16"/>
  <c r="O39" i="14" s="1"/>
  <c r="O41" s="1"/>
  <c r="F8" i="48"/>
  <c r="Q4"/>
  <c r="N22"/>
  <c r="R11" i="14"/>
  <c r="J21" i="48"/>
  <c r="R10" i="14"/>
  <c r="C17" i="49" l="1"/>
  <c r="J8" i="48"/>
  <c r="J25" s="1"/>
  <c r="J31" s="1"/>
  <c r="C56" i="22"/>
  <c r="C58" s="1"/>
  <c r="D44" i="14" s="1"/>
  <c r="D46" s="1"/>
  <c r="N25" i="48"/>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<sst xmlns="http://schemas.openxmlformats.org/spreadsheetml/2006/main" count="1942" uniqueCount="828">
  <si>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</si>
  <si>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</si>
  <si>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</si>
  <si>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</si>
  <si>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</si>
  <si>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</si>
  <si>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</si>
  <si>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</si>
  <si>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</si>
  <si>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</si>
  <si>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</si>
  <si>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</si>
  <si>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</si>
  <si>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</si>
  <si>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</si>
  <si>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</si>
  <si>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</si>
  <si>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</si>
  <si>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</si>
  <si>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</si>
  <si>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</si>
  <si>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</si>
  <si>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</si>
  <si>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</si>
  <si>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</si>
  <si>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</si>
  <si>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</si>
  <si>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</si>
  <si>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</si>
  <si>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</si>
  <si>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</si>
  <si>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</si>
  <si>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</si>
  <si>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</si>
  <si>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</si>
  <si>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</si>
  <si>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</si>
  <si>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</si>
  <si>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</si>
  <si>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</si>
  <si>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</si>
  <si>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</si>
  <si>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</si>
  <si>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</si>
  <si>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</si>
  <si>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</si>
  <si>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</si>
  <si>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</si>
  <si>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</si>
  <si>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</si>
  <si>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</si>
  <si>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</si>
  <si>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</si>
  <si>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</si>
  <si>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</si>
  <si>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</si>
  <si>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</si>
  <si>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</si>
  <si>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</si>
  <si>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</si>
  <si>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</si>
  <si>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</si>
  <si>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</si>
  <si>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</si>
  <si>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</si>
  <si>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</si>
  <si>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</si>
  <si>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</si>
  <si>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</si>
  <si>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</si>
  <si>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</si>
  <si>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</si>
  <si>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</si>
  <si>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</si>
  <si>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</si>
  <si>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</si>
  <si>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</si>
  <si>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</si>
  <si>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</si>
  <si>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</si>
  <si>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</si>
  <si>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</si>
  <si>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</si>
  <si>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</si>
  <si>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</si>
  <si>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</si>
  <si>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</si>
  <si>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</si>
  <si>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</si>
  <si>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</si>
  <si>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</si>
  <si>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</si>
  <si>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</si>
  <si>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</si>
  <si>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</si>
  <si>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</si>
  <si>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</si>
  <si>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</si>
  <si>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</si>
  <si>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</si>
  <si>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</si>
  <si>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</si>
  <si>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</si>
  <si>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</si>
  <si>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</si>
  <si>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</si>
  <si>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</si>
  <si>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</si>
  <si>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</si>
  <si>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</si>
  <si>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</si>
  <si>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</si>
  <si>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</si>
  <si>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</si>
  <si>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</si>
  <si>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</si>
  <si>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</si>
  <si>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</si>
  <si>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</si>
  <si>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</si>
  <si>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</si>
  <si>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</si>
  <si>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</si>
  <si>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</si>
  <si>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</si>
  <si>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</si>
  <si>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</si>
  <si>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</si>
  <si>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</si>
  <si>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</si>
  <si>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</si>
  <si>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</si>
  <si>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</si>
  <si>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</si>
  <si>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</si>
  <si>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</si>
  <si>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</si>
  <si>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</si>
  <si>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</si>
  <si>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</si>
  <si>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</si>
  <si>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</si>
  <si>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</si>
  <si>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</si>
  <si>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</si>
  <si>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</si>
  <si>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</si>
  <si>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</si>
  <si>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</si>
  <si>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</si>
  <si>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</si>
  <si>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</si>
  <si>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</si>
  <si>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</si>
  <si>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</si>
  <si>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</si>
  <si>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</si>
  <si>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</si>
  <si>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</si>
  <si>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</si>
  <si>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</si>
  <si>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</si>
  <si>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</si>
  <si>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</si>
  <si>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</si>
  <si>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</si>
  <si>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</si>
  <si>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</si>
  <si>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</si>
  <si>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</si>
  <si>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</si>
  <si>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</si>
  <si>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</si>
  <si>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</si>
  <si>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</si>
  <si>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</si>
  <si>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</si>
  <si>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</si>
  <si>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</si>
  <si>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</si>
  <si>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</si>
  <si>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</si>
  <si>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</si>
  <si>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</si>
  <si>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</si>
  <si>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</si>
  <si>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</si>
  <si>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</si>
  <si>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</si>
  <si>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</si>
  <si>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</si>
  <si>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</si>
  <si>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</si>
  <si>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</si>
  <si>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</si>
  <si>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</si>
  <si>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</si>
  <si>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</si>
  <si>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</si>
  <si>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</si>
  <si>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</si>
  <si>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</si>
  <si>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</si>
  <si>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</si>
  <si>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</si>
  <si>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</si>
  <si>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</si>
  <si>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</si>
  <si>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</si>
  <si>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</si>
  <si>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</si>
  <si>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</si>
  <si>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</si>
  <si>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</si>
  <si>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</si>
  <si>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</si>
  <si>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</si>
  <si>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</si>
  <si>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</si>
  <si>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</si>
  <si>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</si>
  <si>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</si>
  <si>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</si>
  <si>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</si>
  <si>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</si>
  <si>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</si>
  <si>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</si>
  <si>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</si>
  <si>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</si>
  <si>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</si>
  <si>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</si>
  <si>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</si>
  <si>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</si>
  <si>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</si>
  <si>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</si>
  <si>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</si>
  <si>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</si>
  <si>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</si>
  <si>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</si>
  <si>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</si>
  <si>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</si>
  <si>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</si>
  <si>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</si>
  <si>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</si>
  <si>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</si>
  <si>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</si>
  <si>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</si>
  <si>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</si>
  <si>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</si>
  <si>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</si>
  <si>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</si>
  <si>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</si>
  <si>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</si>
  <si>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</si>
  <si>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</si>
  <si>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</si>
  <si>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</si>
  <si>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</si>
  <si>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</si>
  <si>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</si>
  <si>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</si>
  <si>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</si>
  <si>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</si>
  <si>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</si>
  <si>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</si>
  <si>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</si>
  <si>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</si>
  <si>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</si>
  <si>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</si>
  <si>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</si>
  <si>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</si>
  <si>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</si>
  <si>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</si>
  <si>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</si>
  <si>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</si>
  <si>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</si>
  <si>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</si>
  <si>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</si>
  <si>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</si>
  <si>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</si>
  <si>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</si>
  <si>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</si>
  <si>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</si>
  <si>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</si>
  <si>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</si>
  <si>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</si>
  <si>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</si>
  <si>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</si>
  <si>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</si>
  <si>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</si>
  <si>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</si>
  <si>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</si>
  <si>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</si>
  <si>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</si>
  <si>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</si>
  <si>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</si>
  <si>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</si>
  <si>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</si>
  <si>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</si>
  <si>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</si>
  <si>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</si>
  <si>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</si>
  <si>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</si>
  <si>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</si>
  <si>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</si>
  <si>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</si>
  <si>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</si>
  <si>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</si>
  <si>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</si>
  <si>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</si>
  <si>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</si>
  <si>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</si>
  <si>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</si>
  <si>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</si>
  <si>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</si>
  <si>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</si>
  <si>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</si>
  <si>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</si>
  <si>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</si>
  <si>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</si>
  <si>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</si>
  <si>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</si>
  <si>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</si>
  <si>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</si>
  <si>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</si>
  <si>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</si>
  <si>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</si>
  <si>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</si>
  <si>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</si>
  <si>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</si>
  <si>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</si>
  <si>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</si>
  <si>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</si>
  <si>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</si>
  <si>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</si>
  <si>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</si>
  <si>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</si>
  <si>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</si>
  <si>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</si>
  <si>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</si>
  <si>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</si>
  <si>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</si>
  <si>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</si>
  <si>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</si>
  <si>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</si>
  <si>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</si>
  <si>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</si>
  <si>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</si>
  <si>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</si>
  <si>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</si>
  <si>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</si>
  <si>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</si>
  <si>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</si>
  <si>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</si>
  <si>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</si>
  <si>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</si>
  <si>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</si>
  <si>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</si>
  <si>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</si>
  <si>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</si>
  <si>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</si>
  <si>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</si>
  <si>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</si>
  <si>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</si>
  <si>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</si>
  <si>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</si>
  <si>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</si>
  <si>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</si>
  <si>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</si>
  <si>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</si>
  <si>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</si>
  <si>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</si>
  <si>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</si>
  <si>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</si>
  <si>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</si>
  <si>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</si>
  <si>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</si>
  <si>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</si>
  <si>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</si>
  <si>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</si>
  <si>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</si>
  <si>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</si>
  <si>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</si>
  <si>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</si>
  <si>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</si>
  <si>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</si>
  <si>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</si>
  <si>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</si>
  <si>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</si>
  <si>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</si>
  <si>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</si>
  <si>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</si>
  <si>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</si>
  <si>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</si>
  <si>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</si>
  <si>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</si>
  <si>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</si>
  <si>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</si>
  <si>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</si>
  <si>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</si>
  <si>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</si>
  <si>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</si>
  <si>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</si>
  <si>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</si>
  <si>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</si>
  <si>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</si>
  <si>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</si>
  <si>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</si>
  <si>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</si>
  <si>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</si>
  <si>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</si>
  <si>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</si>
  <si>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</si>
  <si>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</si>
  <si>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</si>
  <si>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</si>
  <si>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</si>
  <si>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</si>
  <si>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</si>
  <si>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</si>
  <si>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</si>
  <si>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</si>
  <si>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</si>
  <si>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</si>
  <si>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</si>
  <si>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</si>
  <si>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</si>
  <si>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</si>
  <si>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</si>
  <si>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</si>
  <si>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</si>
  <si>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</si>
  <si>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</si>
  <si>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</si>
  <si>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</si>
  <si>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</si>
  <si>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</si>
  <si>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</si>
  <si>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</si>
  <si>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</si>
  <si>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</si>
  <si>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</si>
  <si>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</si>
  <si>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</si>
  <si>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</si>
  <si>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</si>
  <si>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</si>
  <si>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</si>
  <si>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</si>
  <si>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</si>
  <si>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</si>
  <si>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</si>
  <si>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</si>
  <si>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</si>
  <si>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</si>
  <si>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</si>
  <si>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</si>
  <si>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</si>
  <si>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</si>
  <si>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</si>
  <si>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</si>
  <si>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</si>
  <si>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</si>
  <si>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</si>
  <si>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</si>
  <si>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</si>
  <si>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</si>
  <si>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</si>
  <si>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</si>
  <si>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</si>
  <si>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</si>
  <si>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</si>
  <si>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</si>
  <si>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</si>
  <si>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</si>
  <si>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</si>
  <si>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</si>
  <si>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</si>
  <si>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</si>
  <si>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</si>
  <si>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</si>
  <si>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</si>
  <si>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</si>
  <si>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</si>
  <si>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</si>
  <si>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</si>
  <si>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</si>
  <si>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</si>
  <si>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</si>
  <si>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</si>
  <si>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</si>
  <si>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</si>
  <si>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</si>
  <si>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</si>
  <si>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</si>
  <si>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</si>
  <si>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</si>
  <si>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</si>
  <si>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</si>
  <si>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</si>
  <si>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</si>
  <si>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</si>
  <si>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</si>
  <si>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</si>
  <si>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</si>
  <si>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</si>
  <si>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</si>
  <si>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</si>
  <si>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</si>
  <si>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</si>
  <si>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</si>
  <si>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</si>
  <si>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</si>
  <si>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</si>
  <si>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</si>
  <si>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</si>
  <si>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</si>
  <si>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</si>
  <si>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</si>
  <si>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</si>
  <si>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</si>
  <si>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</si>
  <si>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</si>
  <si>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</si>
  <si>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</si>
  <si>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</si>
  <si>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</si>
  <si>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</si>
  <si>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</si>
  <si>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</si>
  <si>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</si>
  <si>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</si>
  <si>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</si>
  <si>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</si>
  <si>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</si>
  <si>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</si>
  <si>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</si>
  <si>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</si>
  <si>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</si>
  <si>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</si>
  <si>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</si>
  <si>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</si>
  <si>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</si>
  <si>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</si>
  <si>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</si>
  <si>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</si>
  <si>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</si>
  <si>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</si>
  <si>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</si>
  <si>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</si>
  <si>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</si>
  <si>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</si>
  <si>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</si>
  <si>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</si>
  <si>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</si>
  <si>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</si>
  <si>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</si>
  <si>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</si>
  <si>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</si>
  <si>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</si>
  <si>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</si>
  <si>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</si>
  <si>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</si>
  <si>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</si>
  <si>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</si>
  <si>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</si>
  <si>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</si>
  <si>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</si>
  <si>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</si>
  <si>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</si>
  <si>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</si>
  <si>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</si>
  <si>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</si>
  <si>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</si>
  <si>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</si>
  <si>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</si>
  <si>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</si>
  <si>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</si>
  <si>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</si>
  <si>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</si>
  <si>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</si>
  <si>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</si>
  <si>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</si>
  <si>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</si>
  <si>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</si>
  <si>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</si>
  <si>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</si>
  <si>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</si>
  <si>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</si>
  <si>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</si>
  <si>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</si>
  <si>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</si>
  <si>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</si>
  <si>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</si>
  <si>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</si>
  <si>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</si>
  <si>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</si>
  <si>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</si>
  <si>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</si>
  <si>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</si>
  <si>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</si>
  <si>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</si>
  <si>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</si>
  <si>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</si>
  <si>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</si>
  <si>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</si>
  <si>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</si>
  <si>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</si>
  <si>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</si>
  <si>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</si>
  <si>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</si>
  <si>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</si>
  <si>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</si>
  <si>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</si>
  <si>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</si>
  <si>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</si>
  <si>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</si>
  <si>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</si>
  <si>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</si>
  <si>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</si>
  <si>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</si>
  <si>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</si>
  <si>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</si>
  <si>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</si>
  <si>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</si>
  <si>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</si>
  <si>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</si>
  <si>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</si>
  <si>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</si>
  <si>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</si>
  <si>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</si>
  <si>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</si>
  <si>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</si>
  <si>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</si>
  <si>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</si>
  <si>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</si>
  <si>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</si>
  <si>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</si>
  <si>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</si>
  <si>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</si>
  <si>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</si>
  <si>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</si>
  <si>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</si>
  <si>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</si>
  <si>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</si>
  <si>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</si>
  <si>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</si>
  <si>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</si>
  <si>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</si>
  <si>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</si>
  <si>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</si>
  <si>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</si>
  <si>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</si>
  <si>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</si>
  <si>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</si>
  <si>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</si>
  <si>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</si>
  <si>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</si>
  <si>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</si>
  <si>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</si>
  <si>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</si>
  <si>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</si>
  <si>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</si>
  <si>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</si>
  <si>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</si>
  <si>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</si>
  <si>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</si>
  <si>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</si>
  <si>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</si>
  <si>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</si>
  <si>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</si>
  <si>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</si>
  <si>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</si>
  <si>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</si>
  <si>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</si>
  <si>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</si>
  <si>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</si>
  <si>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</si>
  <si>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</si>
  <si>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</si>
  <si>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</si>
  <si>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</si>
  <si>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</si>
  <si>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</si>
  <si>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</si>
  <si>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</si>
  <si>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</si>
  <si>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</si>
  <si>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</si>
  <si>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</si>
  <si>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</si>
  <si>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</si>
  <si>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</si>
  <si>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</si>
  <si>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</si>
  <si>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</si>
  <si>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</si>
  <si>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</si>
  <si>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</si>
  <si>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</si>
  <si>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</si>
  <si>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</si>
  <si>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</si>
  <si>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</si>
  <si>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</si>
  <si>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</si>
  <si>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</si>
  <si>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</si>
  <si>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</si>
  <si>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</si>
  <si>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</si>
  <si>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</si>
  <si>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</si>
  <si>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</si>
  <si>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</si>
  <si>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</si>
  <si>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</si>
  <si>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</si>
  <si>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</si>
  <si>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</si>
  <si>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</si>
  <si>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</si>
  <si>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</si>
  <si>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</si>
  <si>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</si>
  <si>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</si>
  <si>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</si>
  <si>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</si>
  <si>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</si>
  <si>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</si>
  <si>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</si>
  <si>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</si>
  <si>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</si>
  <si>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</si>
  <si>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</si>
  <si>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</si>
  <si>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</si>
  <si>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</si>
  <si>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</si>
  <si>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</si>
  <si>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</si>
  <si>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</si>
  <si>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</si>
  <si>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</si>
  <si>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</si>
  <si>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</si>
  <si>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</si>
  <si>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</si>
  <si>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</si>
  <si>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</si>
  <si>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</si>
  <si>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</si>
  <si>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</si>
  <si>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</si>
  <si>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</si>
  <si>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</si>
  <si>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</si>
  <si>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</si>
  <si>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</si>
  <si>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</si>
  <si>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</si>
  <si>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</si>
  <si>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</si>
  <si>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</si>
  <si>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</si>
  <si>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</si>
  <si>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</si>
  <si>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</si>
  <si>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</si>
  <si>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</si>
  <si>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</si>
  <si>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</si>
  <si>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</si>
  <si>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</si>
  <si>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</si>
  <si>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</si>
  <si>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</si>
  <si>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</si>
  <si>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</si>
  <si>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</si>
  <si>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</si>
  <si>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</si>
  <si>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</si>
  <si>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</si>
  <si>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</si>
  <si>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</si>
  <si>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</si>
  <si>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</si>
  <si>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</si>
  <si>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</si>
  <si>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</si>
  <si>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</si>
  <si>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</si>
  <si>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</si>
  <si>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</si>
  <si>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</si>
  <si>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</si>
  <si>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</si>
  <si>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</si>
  <si>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</si>
  <si>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</si>
  <si>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</si>
  <si>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</si>
  <si>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</si>
  <si>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</si>
  <si>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</si>
  <si>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</si>
  <si>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</si>
  <si>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</si>
  <si>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</si>
  <si>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23088</t>
  </si>
  <si>
    <t>VILVOORDE</t>
  </si>
  <si>
    <t>Paarden&amp;pony's 200 - 600 kg</t>
  </si>
  <si>
    <t>Paarden&amp;pony's &lt; 200 kg</t>
  </si>
  <si>
    <t>referentietaak LNE (2017); Jaarverslag De Lijn (2015)</t>
  </si>
  <si>
    <t>op basis van VEA (maart 2018) en Inventaris Hernieuwbare Energiebronnen (juni 2018)</t>
  </si>
  <si>
    <t>VEA (januari 2017)</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</si>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</sst>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240563.76356631404</c:v>
                </c:pt>
                <c:pt idx="1">
                  <c:v>225331.41875101393</c:v>
                </c:pt>
                <c:pt idx="2">
                  <c:v>2589.2606732999998</c:v>
                </c:pt>
                <c:pt idx="3">
                  <c:v>12151.574289462695</c:v>
                </c:pt>
                <c:pt idx="4">
                  <c:v>80159.010185647188</c:v>
                </c:pt>
                <c:pt idx="5">
                  <c:v>385596.54427383398</c:v>
                </c:pt>
                <c:pt idx="6">
                  <c:v>4736.9485449406548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240563.76356631404</c:v>
                </c:pt>
                <c:pt idx="1">
                  <c:v>225331.41875101393</c:v>
                </c:pt>
                <c:pt idx="2">
                  <c:v>2589.2606732999998</c:v>
                </c:pt>
                <c:pt idx="3">
                  <c:v>12151.574289462695</c:v>
                </c:pt>
                <c:pt idx="4">
                  <c:v>80159.010185647188</c:v>
                </c:pt>
                <c:pt idx="5">
                  <c:v>385596.54427383398</c:v>
                </c:pt>
                <c:pt idx="6">
                  <c:v>4736.9485449406548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47532.412163514462</c:v>
                </c:pt>
                <c:pt idx="1">
                  <c:v>47461.927756016536</c:v>
                </c:pt>
                <c:pt idx="2">
                  <c:v>555.79262642565686</c:v>
                </c:pt>
                <c:pt idx="3">
                  <c:v>2469.9562726693175</c:v>
                </c:pt>
                <c:pt idx="4">
                  <c:v>15885.078157163161</c:v>
                </c:pt>
                <c:pt idx="5">
                  <c:v>98734.527536216803</c:v>
                </c:pt>
                <c:pt idx="6">
                  <c:v>1226.7152973605221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476992"/>
      </c:barChart>
      <c:catAx>
        <c:axId val="183360512"/>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47532.412163514462</c:v>
                </c:pt>
                <c:pt idx="1">
                  <c:v>47461.927756016536</c:v>
                </c:pt>
                <c:pt idx="2">
                  <c:v>555.79262642565686</c:v>
                </c:pt>
                <c:pt idx="3">
                  <c:v>2469.9562726693175</c:v>
                </c:pt>
                <c:pt idx="4">
                  <c:v>15885.078157163161</c:v>
                </c:pt>
                <c:pt idx="5">
                  <c:v>98734.527536216803</c:v>
                </c:pt>
                <c:pt idx="6">
                  <c:v>1226.7152973605221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23088</v>
      </c>
      <c r="B6" s="415"/>
      <c r="C6" s="416"/>
    </row>
    <row r="7" spans="1:7" s="413" customFormat="1" ht="15.75" customHeight="1">
      <c r="A7" s="417" t="str">
        <f>txtMunicipality</f>
        <v>VILVOORDE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16430</v>
      </c>
      <c r="C9" s="342">
        <v>17319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414.99</v>
      </c>
    </row>
    <row r="15" spans="1:6">
      <c r="A15" s="348" t="s">
        <v>184</v>
      </c>
      <c r="B15" s="334">
        <v>0</v>
      </c>
    </row>
    <row r="16" spans="1:6">
      <c r="A16" s="348" t="s">
        <v>6</v>
      </c>
      <c r="B16" s="334">
        <v>0</v>
      </c>
    </row>
    <row r="17" spans="1:6">
      <c r="A17" s="348" t="s">
        <v>7</v>
      </c>
      <c r="B17" s="334">
        <v>15</v>
      </c>
    </row>
    <row r="18" spans="1:6">
      <c r="A18" s="348" t="s">
        <v>8</v>
      </c>
      <c r="B18" s="334">
        <v>12</v>
      </c>
    </row>
    <row r="19" spans="1:6">
      <c r="A19" s="348" t="s">
        <v>9</v>
      </c>
      <c r="B19" s="334">
        <v>6</v>
      </c>
    </row>
    <row r="20" spans="1:6">
      <c r="A20" s="348" t="s">
        <v>10</v>
      </c>
      <c r="B20" s="334">
        <v>15</v>
      </c>
    </row>
    <row r="21" spans="1:6">
      <c r="A21" s="348" t="s">
        <v>11</v>
      </c>
      <c r="B21" s="334">
        <v>1</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94</v>
      </c>
    </row>
    <row r="27" spans="1:6">
      <c r="A27" s="348" t="s">
        <v>17</v>
      </c>
      <c r="B27" s="334">
        <v>3</v>
      </c>
    </row>
    <row r="28" spans="1:6" s="356" customFormat="1">
      <c r="A28" s="355" t="s">
        <v>18</v>
      </c>
      <c r="B28" s="355">
        <v>45</v>
      </c>
    </row>
    <row r="29" spans="1:6">
      <c r="A29" s="355" t="s">
        <v>812</v>
      </c>
      <c r="B29" s="355">
        <v>22</v>
      </c>
      <c r="C29" s="356"/>
      <c r="D29" s="356"/>
      <c r="E29" s="356"/>
      <c r="F29" s="356"/>
    </row>
    <row r="30" spans="1:6">
      <c r="A30" s="355" t="s">
        <v>813</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11625</v>
      </c>
    </row>
    <row r="37" spans="1:6">
      <c r="A37" s="348" t="s">
        <v>25</v>
      </c>
      <c r="B37" s="348" t="s">
        <v>28</v>
      </c>
      <c r="C37" s="334">
        <v>0</v>
      </c>
      <c r="D37" s="334">
        <v>0</v>
      </c>
      <c r="E37" s="334">
        <v>0</v>
      </c>
      <c r="F37" s="334">
        <v>0</v>
      </c>
    </row>
    <row r="38" spans="1:6">
      <c r="A38" s="348" t="s">
        <v>25</v>
      </c>
      <c r="B38" s="348" t="s">
        <v>29</v>
      </c>
      <c r="C38" s="334">
        <v>3</v>
      </c>
      <c r="D38" s="334">
        <v>305682.73225</v>
      </c>
      <c r="E38" s="334">
        <v>5</v>
      </c>
      <c r="F38" s="334">
        <v>34252</v>
      </c>
    </row>
    <row r="39" spans="1:6">
      <c r="A39" s="348" t="s">
        <v>30</v>
      </c>
      <c r="B39" s="348" t="s">
        <v>31</v>
      </c>
      <c r="C39" s="334">
        <v>14231</v>
      </c>
      <c r="D39" s="334">
        <v>193973028.63</v>
      </c>
      <c r="E39" s="334">
        <v>16712</v>
      </c>
      <c r="F39" s="334">
        <v>52426480.296999998</v>
      </c>
    </row>
    <row r="40" spans="1:6">
      <c r="A40" s="348" t="s">
        <v>30</v>
      </c>
      <c r="B40" s="348" t="s">
        <v>29</v>
      </c>
      <c r="C40" s="334">
        <v>2</v>
      </c>
      <c r="D40" s="334">
        <v>26549.105693000001</v>
      </c>
      <c r="E40" s="334">
        <v>2</v>
      </c>
      <c r="F40" s="334">
        <v>15946.699569</v>
      </c>
    </row>
    <row r="41" spans="1:6">
      <c r="A41" s="348" t="s">
        <v>32</v>
      </c>
      <c r="B41" s="348" t="s">
        <v>33</v>
      </c>
      <c r="C41" s="334">
        <v>84</v>
      </c>
      <c r="D41" s="334">
        <v>3523861.7689</v>
      </c>
      <c r="E41" s="334">
        <v>155</v>
      </c>
      <c r="F41" s="334">
        <v>4548276.1990999999</v>
      </c>
    </row>
    <row r="42" spans="1:6">
      <c r="A42" s="348" t="s">
        <v>32</v>
      </c>
      <c r="B42" s="348" t="s">
        <v>34</v>
      </c>
      <c r="C42" s="334">
        <v>5</v>
      </c>
      <c r="D42" s="334">
        <v>4143515.3480000002</v>
      </c>
      <c r="E42" s="334">
        <v>4</v>
      </c>
      <c r="F42" s="334">
        <v>4703184.8393999999</v>
      </c>
    </row>
    <row r="43" spans="1:6">
      <c r="A43" s="348" t="s">
        <v>32</v>
      </c>
      <c r="B43" s="348" t="s">
        <v>35</v>
      </c>
      <c r="C43" s="334">
        <v>0</v>
      </c>
      <c r="D43" s="334">
        <v>0</v>
      </c>
      <c r="E43" s="334">
        <v>0</v>
      </c>
      <c r="F43" s="334">
        <v>0</v>
      </c>
    </row>
    <row r="44" spans="1:6">
      <c r="A44" s="348" t="s">
        <v>32</v>
      </c>
      <c r="B44" s="348" t="s">
        <v>36</v>
      </c>
      <c r="C44" s="334">
        <v>5</v>
      </c>
      <c r="D44" s="334">
        <v>411377.56764000002</v>
      </c>
      <c r="E44" s="334">
        <v>18</v>
      </c>
      <c r="F44" s="334">
        <v>576079.06923000002</v>
      </c>
    </row>
    <row r="45" spans="1:6">
      <c r="A45" s="348" t="s">
        <v>32</v>
      </c>
      <c r="B45" s="348" t="s">
        <v>37</v>
      </c>
      <c r="C45" s="334">
        <v>0</v>
      </c>
      <c r="D45" s="334">
        <v>0</v>
      </c>
      <c r="E45" s="334">
        <v>3</v>
      </c>
      <c r="F45" s="334">
        <v>9238.2144172999997</v>
      </c>
    </row>
    <row r="46" spans="1:6">
      <c r="A46" s="348" t="s">
        <v>32</v>
      </c>
      <c r="B46" s="348" t="s">
        <v>38</v>
      </c>
      <c r="C46" s="334">
        <v>0</v>
      </c>
      <c r="D46" s="334">
        <v>0</v>
      </c>
      <c r="E46" s="334">
        <v>0</v>
      </c>
      <c r="F46" s="334">
        <v>0</v>
      </c>
    </row>
    <row r="47" spans="1:6">
      <c r="A47" s="348" t="s">
        <v>32</v>
      </c>
      <c r="B47" s="348" t="s">
        <v>39</v>
      </c>
      <c r="C47" s="334">
        <v>5</v>
      </c>
      <c r="D47" s="334">
        <v>110714.59651</v>
      </c>
      <c r="E47" s="334">
        <v>7</v>
      </c>
      <c r="F47" s="334">
        <v>52298.786487999998</v>
      </c>
    </row>
    <row r="48" spans="1:6">
      <c r="A48" s="348" t="s">
        <v>32</v>
      </c>
      <c r="B48" s="348" t="s">
        <v>29</v>
      </c>
      <c r="C48" s="334">
        <v>34</v>
      </c>
      <c r="D48" s="334">
        <v>5372894.2472999999</v>
      </c>
      <c r="E48" s="334">
        <v>44</v>
      </c>
      <c r="F48" s="334">
        <v>33561070.741999999</v>
      </c>
    </row>
    <row r="49" spans="1:6">
      <c r="A49" s="348" t="s">
        <v>32</v>
      </c>
      <c r="B49" s="348" t="s">
        <v>40</v>
      </c>
      <c r="C49" s="334">
        <v>0</v>
      </c>
      <c r="D49" s="334">
        <v>0</v>
      </c>
      <c r="E49" s="334">
        <v>0</v>
      </c>
      <c r="F49" s="334">
        <v>0</v>
      </c>
    </row>
    <row r="50" spans="1:6">
      <c r="A50" s="348" t="s">
        <v>32</v>
      </c>
      <c r="B50" s="348" t="s">
        <v>41</v>
      </c>
      <c r="C50" s="334">
        <v>7</v>
      </c>
      <c r="D50" s="334">
        <v>420955.46223</v>
      </c>
      <c r="E50" s="334">
        <v>13</v>
      </c>
      <c r="F50" s="334">
        <v>541828.95469000004</v>
      </c>
    </row>
    <row r="51" spans="1:6">
      <c r="A51" s="348" t="s">
        <v>42</v>
      </c>
      <c r="B51" s="348" t="s">
        <v>43</v>
      </c>
      <c r="C51" s="334">
        <v>0</v>
      </c>
      <c r="D51" s="334">
        <v>0</v>
      </c>
      <c r="E51" s="334">
        <v>0</v>
      </c>
      <c r="F51" s="334">
        <v>0</v>
      </c>
    </row>
    <row r="52" spans="1:6">
      <c r="A52" s="348" t="s">
        <v>42</v>
      </c>
      <c r="B52" s="348" t="s">
        <v>29</v>
      </c>
      <c r="C52" s="334">
        <v>4</v>
      </c>
      <c r="D52" s="334">
        <v>431465.59998</v>
      </c>
      <c r="E52" s="334">
        <v>9</v>
      </c>
      <c r="F52" s="334">
        <v>52871.509735</v>
      </c>
    </row>
    <row r="53" spans="1:6">
      <c r="A53" s="348" t="s">
        <v>44</v>
      </c>
      <c r="B53" s="348" t="s">
        <v>45</v>
      </c>
      <c r="C53" s="334">
        <v>417</v>
      </c>
      <c r="D53" s="334">
        <v>12786036.310000001</v>
      </c>
      <c r="E53" s="334">
        <v>723</v>
      </c>
      <c r="F53" s="334">
        <v>4969701.0804000003</v>
      </c>
    </row>
    <row r="54" spans="1:6">
      <c r="A54" s="348" t="s">
        <v>46</v>
      </c>
      <c r="B54" s="348" t="s">
        <v>47</v>
      </c>
      <c r="C54" s="334">
        <v>0</v>
      </c>
      <c r="D54" s="334">
        <v>0</v>
      </c>
      <c r="E54" s="334">
        <v>2</v>
      </c>
      <c r="F54" s="334">
        <v>2589260.6732999999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74</v>
      </c>
      <c r="D57" s="334">
        <v>2555318.3168000001</v>
      </c>
      <c r="E57" s="334">
        <v>135</v>
      </c>
      <c r="F57" s="334">
        <v>2532328.4338000002</v>
      </c>
    </row>
    <row r="58" spans="1:6">
      <c r="A58" s="348" t="s">
        <v>49</v>
      </c>
      <c r="B58" s="348" t="s">
        <v>51</v>
      </c>
      <c r="C58" s="334">
        <v>69</v>
      </c>
      <c r="D58" s="334">
        <v>3526975.6874000002</v>
      </c>
      <c r="E58" s="334">
        <v>87</v>
      </c>
      <c r="F58" s="334">
        <v>1190908.8888999999</v>
      </c>
    </row>
    <row r="59" spans="1:6">
      <c r="A59" s="348" t="s">
        <v>49</v>
      </c>
      <c r="B59" s="348" t="s">
        <v>52</v>
      </c>
      <c r="C59" s="334">
        <v>230</v>
      </c>
      <c r="D59" s="334">
        <v>12537801.16</v>
      </c>
      <c r="E59" s="334">
        <v>370</v>
      </c>
      <c r="F59" s="334">
        <v>16552893.124</v>
      </c>
    </row>
    <row r="60" spans="1:6">
      <c r="A60" s="348" t="s">
        <v>49</v>
      </c>
      <c r="B60" s="348" t="s">
        <v>53</v>
      </c>
      <c r="C60" s="334">
        <v>207</v>
      </c>
      <c r="D60" s="334">
        <v>23409845.063000001</v>
      </c>
      <c r="E60" s="334">
        <v>277</v>
      </c>
      <c r="F60" s="334">
        <v>12023343.17</v>
      </c>
    </row>
    <row r="61" spans="1:6">
      <c r="A61" s="348" t="s">
        <v>49</v>
      </c>
      <c r="B61" s="348" t="s">
        <v>54</v>
      </c>
      <c r="C61" s="334">
        <v>447</v>
      </c>
      <c r="D61" s="334">
        <v>53396130.409999996</v>
      </c>
      <c r="E61" s="334">
        <v>973</v>
      </c>
      <c r="F61" s="334">
        <v>31206197.737</v>
      </c>
    </row>
    <row r="62" spans="1:6">
      <c r="A62" s="348" t="s">
        <v>49</v>
      </c>
      <c r="B62" s="348" t="s">
        <v>55</v>
      </c>
      <c r="C62" s="334">
        <v>7</v>
      </c>
      <c r="D62" s="334">
        <v>1118840.7927000001</v>
      </c>
      <c r="E62" s="334">
        <v>15</v>
      </c>
      <c r="F62" s="334">
        <v>1409252.9768999999</v>
      </c>
    </row>
    <row r="63" spans="1:6">
      <c r="A63" s="348" t="s">
        <v>49</v>
      </c>
      <c r="B63" s="348" t="s">
        <v>29</v>
      </c>
      <c r="C63" s="334">
        <v>137</v>
      </c>
      <c r="D63" s="334">
        <v>23325495.337000001</v>
      </c>
      <c r="E63" s="334">
        <v>130</v>
      </c>
      <c r="F63" s="334">
        <v>23148759.397999998</v>
      </c>
    </row>
    <row r="64" spans="1:6">
      <c r="A64" s="348" t="s">
        <v>56</v>
      </c>
      <c r="B64" s="348" t="s">
        <v>57</v>
      </c>
      <c r="C64" s="334">
        <v>0</v>
      </c>
      <c r="D64" s="334">
        <v>0</v>
      </c>
      <c r="E64" s="334">
        <v>0</v>
      </c>
      <c r="F64" s="334">
        <v>0</v>
      </c>
    </row>
    <row r="65" spans="1:6">
      <c r="A65" s="348" t="s">
        <v>56</v>
      </c>
      <c r="B65" s="348" t="s">
        <v>29</v>
      </c>
      <c r="C65" s="334">
        <v>2</v>
      </c>
      <c r="D65" s="334">
        <v>296141.36335</v>
      </c>
      <c r="E65" s="334">
        <v>3</v>
      </c>
      <c r="F65" s="334">
        <v>75787.568710000007</v>
      </c>
    </row>
    <row r="66" spans="1:6">
      <c r="A66" s="348" t="s">
        <v>56</v>
      </c>
      <c r="B66" s="348" t="s">
        <v>58</v>
      </c>
      <c r="C66" s="334">
        <v>0</v>
      </c>
      <c r="D66" s="334">
        <v>0</v>
      </c>
      <c r="E66" s="334">
        <v>28</v>
      </c>
      <c r="F66" s="334">
        <v>1247269.9098</v>
      </c>
    </row>
    <row r="67" spans="1:6">
      <c r="A67" s="355" t="s">
        <v>56</v>
      </c>
      <c r="B67" s="355" t="s">
        <v>59</v>
      </c>
      <c r="C67" s="334">
        <v>0</v>
      </c>
      <c r="D67" s="334">
        <v>0</v>
      </c>
      <c r="E67" s="334">
        <v>0</v>
      </c>
      <c r="F67" s="334">
        <v>0</v>
      </c>
    </row>
    <row r="68" spans="1:6">
      <c r="A68" s="341" t="s">
        <v>56</v>
      </c>
      <c r="B68" s="341" t="s">
        <v>60</v>
      </c>
      <c r="C68" s="334">
        <v>13</v>
      </c>
      <c r="D68" s="334">
        <v>686225.65115000005</v>
      </c>
      <c r="E68" s="334">
        <v>29</v>
      </c>
      <c r="F68" s="334">
        <v>1472519.4416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103015414</v>
      </c>
      <c r="E73" s="476">
        <v>127272960.57486093</v>
      </c>
    </row>
    <row r="74" spans="1:6">
      <c r="A74" s="348" t="s">
        <v>64</v>
      </c>
      <c r="B74" s="348" t="s">
        <v>667</v>
      </c>
      <c r="C74" s="1212" t="s">
        <v>669</v>
      </c>
      <c r="D74" s="476">
        <v>6403214.1000324721</v>
      </c>
      <c r="E74" s="476">
        <v>7437740.9300876353</v>
      </c>
    </row>
    <row r="75" spans="1:6">
      <c r="A75" s="348" t="s">
        <v>65</v>
      </c>
      <c r="B75" s="348" t="s">
        <v>666</v>
      </c>
      <c r="C75" s="1212" t="s">
        <v>670</v>
      </c>
      <c r="D75" s="476">
        <v>30900603</v>
      </c>
      <c r="E75" s="476">
        <v>39353212.150128797</v>
      </c>
    </row>
    <row r="76" spans="1:6">
      <c r="A76" s="348" t="s">
        <v>65</v>
      </c>
      <c r="B76" s="348" t="s">
        <v>667</v>
      </c>
      <c r="C76" s="1212" t="s">
        <v>671</v>
      </c>
      <c r="D76" s="476">
        <v>633266.10003247205</v>
      </c>
      <c r="E76" s="476">
        <v>811081.31767586875</v>
      </c>
    </row>
    <row r="77" spans="1:6">
      <c r="A77" s="348" t="s">
        <v>66</v>
      </c>
      <c r="B77" s="348" t="s">
        <v>666</v>
      </c>
      <c r="C77" s="1212" t="s">
        <v>672</v>
      </c>
      <c r="D77" s="476">
        <v>281695919</v>
      </c>
      <c r="E77" s="476">
        <v>304236480.48537856</v>
      </c>
    </row>
    <row r="78" spans="1:6">
      <c r="A78" s="341" t="s">
        <v>66</v>
      </c>
      <c r="B78" s="341" t="s">
        <v>667</v>
      </c>
      <c r="C78" s="341" t="s">
        <v>673</v>
      </c>
      <c r="D78" s="1213">
        <v>33890391</v>
      </c>
      <c r="E78" s="1213">
        <v>33948381.992795698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1272279.7999350559</v>
      </c>
      <c r="C83" s="476">
        <v>1272279.7999350559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1932.1905359033346</v>
      </c>
    </row>
    <row r="92" spans="1:6">
      <c r="A92" s="341" t="s">
        <v>69</v>
      </c>
      <c r="B92" s="342">
        <v>3642.4624456169131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190519.80277332716</v>
      </c>
      <c r="C3" s="43" t="s">
        <v>170</v>
      </c>
      <c r="D3" s="43"/>
      <c r="E3" s="154"/>
      <c r="F3" s="43"/>
      <c r="G3" s="43"/>
      <c r="H3" s="43"/>
      <c r="I3" s="43"/>
      <c r="J3" s="43"/>
      <c r="K3" s="96"/>
    </row>
    <row r="4" spans="1:11">
      <c r="A4" s="383" t="s">
        <v>171</v>
      </c>
      <c r="B4" s="49">
        <f>IF(ISERROR('SEAP template'!B69),0,'SEAP template'!B69)</f>
        <v>6942.6529815202475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325.1011764705882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0.21465302128784969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464.43025210084039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1954.2857142857144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2589.2606732999998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2589.2606732999998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0.21465302128784969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555.79262642565686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52442.426996569004</v>
      </c>
      <c r="C5" s="17">
        <f>IF(ISERROR('Eigen informatie GS &amp; warmtenet'!B57),0,'Eigen informatie GS &amp; warmtenet'!B57)</f>
        <v>0</v>
      </c>
      <c r="D5" s="30">
        <f>(SUM(HH_hh_gas_kWh,HH_rest_gas_kWh)/1000)*0.902</f>
        <v>174987.61911759511</v>
      </c>
      <c r="E5" s="17">
        <f>B46*B57</f>
        <v>2260.9566830122353</v>
      </c>
      <c r="F5" s="17">
        <f>B51*B62</f>
        <v>0</v>
      </c>
      <c r="G5" s="18"/>
      <c r="H5" s="17"/>
      <c r="I5" s="17"/>
      <c r="J5" s="17">
        <f>B50*B61+C50*C61</f>
        <v>0</v>
      </c>
      <c r="K5" s="17"/>
      <c r="L5" s="17"/>
      <c r="M5" s="17"/>
      <c r="N5" s="17">
        <f>B48*B59+C48*C59</f>
        <v>8613.8935665676945</v>
      </c>
      <c r="O5" s="17">
        <f>B69*B70*B71</f>
        <v>136.01000000000002</v>
      </c>
      <c r="P5" s="17">
        <f>B77*B78*B79/1000-B77*B78*B79/1000/B80</f>
        <v>190.66666666666669</v>
      </c>
    </row>
    <row r="6" spans="1:16">
      <c r="A6" s="16" t="s">
        <v>624</v>
      </c>
      <c r="B6" s="843">
        <f>kWh_PV_kleiner_dan_10kW</f>
        <v>1932.1905359033346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54374.617532472337</v>
      </c>
      <c r="C8" s="21">
        <f>C5</f>
        <v>0</v>
      </c>
      <c r="D8" s="21">
        <f>D5</f>
        <v>174987.61911759511</v>
      </c>
      <c r="E8" s="21">
        <f>E5</f>
        <v>2260.9566830122353</v>
      </c>
      <c r="F8" s="21">
        <f>F5</f>
        <v>0</v>
      </c>
      <c r="G8" s="21"/>
      <c r="H8" s="21"/>
      <c r="I8" s="21"/>
      <c r="J8" s="21">
        <f>J5</f>
        <v>0</v>
      </c>
      <c r="K8" s="21"/>
      <c r="L8" s="21">
        <f>L5</f>
        <v>0</v>
      </c>
      <c r="M8" s="21">
        <f>M5</f>
        <v>0</v>
      </c>
      <c r="N8" s="21">
        <f>N5</f>
        <v>8613.8935665676945</v>
      </c>
      <c r="O8" s="21">
        <f>O5</f>
        <v>136.01000000000002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0.21465302128784969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11671.67593471647</v>
      </c>
      <c r="C12" s="23">
        <f ca="1">C10*C8</f>
        <v>0</v>
      </c>
      <c r="D12" s="23">
        <f>D8*D10</f>
        <v>35347.499061754213</v>
      </c>
      <c r="E12" s="23">
        <f>E10*E8</f>
        <v>513.23716704377739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16430</v>
      </c>
      <c r="C28" s="36"/>
      <c r="D28" s="228"/>
    </row>
    <row r="29" spans="1:7" s="15" customFormat="1">
      <c r="A29" s="230" t="s">
        <v>699</v>
      </c>
      <c r="B29" s="37">
        <f>SUM(HH_hh_gas_aantal,HH_rest_gas_aantal)</f>
        <v>14233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14233</v>
      </c>
      <c r="C32" s="167">
        <f>IF(ISERROR(B32/SUM($B$32,$B$34,$B$35,$B$36,$B$38,$B$39)*100),0,B32/SUM($B$32,$B$34,$B$35,$B$36,$B$38,$B$39)*100)</f>
        <v>86.680876979293544</v>
      </c>
      <c r="D32" s="233"/>
      <c r="G32" s="15"/>
    </row>
    <row r="33" spans="1:7">
      <c r="A33" s="171" t="s">
        <v>72</v>
      </c>
      <c r="B33" s="34" t="s">
        <v>111</v>
      </c>
      <c r="C33" s="167"/>
      <c r="D33" s="233"/>
      <c r="G33" s="15"/>
    </row>
    <row r="34" spans="1:7">
      <c r="A34" s="171" t="s">
        <v>73</v>
      </c>
      <c r="B34" s="33">
        <f>IF((($B$28-$B$32-$B$39-$B$77-$B$38)*C20/100)&lt;0,0,($B$28-$B$32-$B$39-$B$77-$B$38)*C20/100)</f>
        <v>99.963210702341144</v>
      </c>
      <c r="C34" s="167">
        <f>IF(ISERROR(B34/SUM($B$32,$B$34,$B$35,$B$36,$B$38,$B$39)*100),0,B34/SUM($B$32,$B$34,$B$35,$B$36,$B$38,$B$39)*100)</f>
        <v>0.60878934654288153</v>
      </c>
      <c r="D34" s="233"/>
      <c r="G34" s="15"/>
    </row>
    <row r="35" spans="1:7">
      <c r="A35" s="171" t="s">
        <v>74</v>
      </c>
      <c r="B35" s="33">
        <f>IF((($B$28-$B$32-$B$39-$B$77-$B$38)*C21/100)&lt;0,0,($B$28-$B$32-$B$39-$B$77-$B$38)*C21/100)</f>
        <v>1952.9397993311036</v>
      </c>
      <c r="C35" s="167">
        <f>IF(ISERROR(B35/SUM($B$32,$B$34,$B$35,$B$36,$B$38,$B$39)*100),0,B35/SUM($B$32,$B$34,$B$35,$B$36,$B$38,$B$39)*100)</f>
        <v>11.89366503855727</v>
      </c>
      <c r="D35" s="233"/>
      <c r="G35" s="15"/>
    </row>
    <row r="36" spans="1:7">
      <c r="A36" s="171" t="s">
        <v>75</v>
      </c>
      <c r="B36" s="33">
        <f>IF((($B$28-$B$32-$B$39-$B$77-$B$38)*C22/100)&lt;0,0,($B$28-$B$32-$B$39-$B$77-$B$38)*C22/100)</f>
        <v>134.09698996655518</v>
      </c>
      <c r="C36" s="167">
        <f>IF(ISERROR(B36/SUM($B$32,$B$34,$B$35,$B$36,$B$38,$B$39)*100),0,B36/SUM($B$32,$B$34,$B$35,$B$36,$B$38,$B$39)*100)</f>
        <v>0.81666863560630443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14233</v>
      </c>
      <c r="C44" s="34" t="s">
        <v>111</v>
      </c>
      <c r="D44" s="174"/>
    </row>
    <row r="45" spans="1:7">
      <c r="A45" s="171" t="s">
        <v>72</v>
      </c>
      <c r="B45" s="33" t="str">
        <f t="shared" si="0"/>
        <v>-</v>
      </c>
      <c r="C45" s="34" t="s">
        <v>111</v>
      </c>
      <c r="D45" s="174"/>
    </row>
    <row r="46" spans="1:7">
      <c r="A46" s="171" t="s">
        <v>73</v>
      </c>
      <c r="B46" s="33">
        <f t="shared" si="0"/>
        <v>99.963210702341144</v>
      </c>
      <c r="C46" s="34" t="s">
        <v>111</v>
      </c>
      <c r="D46" s="174"/>
    </row>
    <row r="47" spans="1:7">
      <c r="A47" s="171" t="s">
        <v>74</v>
      </c>
      <c r="B47" s="33">
        <f t="shared" si="0"/>
        <v>1952.9397993311036</v>
      </c>
      <c r="C47" s="34" t="s">
        <v>111</v>
      </c>
      <c r="D47" s="174"/>
    </row>
    <row r="48" spans="1:7">
      <c r="A48" s="171" t="s">
        <v>75</v>
      </c>
      <c r="B48" s="33">
        <f t="shared" si="0"/>
        <v>134.09698996655518</v>
      </c>
      <c r="C48" s="33">
        <f>B48*10</f>
        <v>1340.9698996655518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88063.683728599994</v>
      </c>
      <c r="C5" s="17">
        <f>IF(ISERROR('Eigen informatie GS &amp; warmtenet'!B58),0,'Eigen informatie GS &amp; warmtenet'!B58)</f>
        <v>0</v>
      </c>
      <c r="D5" s="30">
        <f>SUM(D6:D12)</f>
        <v>108123.10690374378</v>
      </c>
      <c r="E5" s="17">
        <f>SUM(E6:E12)</f>
        <v>1742.8729025463247</v>
      </c>
      <c r="F5" s="17">
        <f>SUM(F6:F12)</f>
        <v>23795.259120501112</v>
      </c>
      <c r="G5" s="18"/>
      <c r="H5" s="17"/>
      <c r="I5" s="17"/>
      <c r="J5" s="17">
        <f>SUM(J6:J12)</f>
        <v>0</v>
      </c>
      <c r="K5" s="17"/>
      <c r="L5" s="17"/>
      <c r="M5" s="17"/>
      <c r="N5" s="17">
        <f>SUM(N6:N12)</f>
        <v>4108.8008575274725</v>
      </c>
      <c r="O5" s="17">
        <f>B38*B39*B40</f>
        <v>0</v>
      </c>
      <c r="P5" s="17">
        <f>B46*B47*B48/1000-B46*B47*B48/1000/B49</f>
        <v>76.266666666666666</v>
      </c>
      <c r="R5" s="32"/>
    </row>
    <row r="6" spans="1:18">
      <c r="A6" s="32" t="s">
        <v>54</v>
      </c>
      <c r="B6" s="37">
        <f>B26</f>
        <v>31206.197736999999</v>
      </c>
      <c r="C6" s="33"/>
      <c r="D6" s="37">
        <f>IF(ISERROR(TER_kantoor_gas_kWh/1000),0,TER_kantoor_gas_kWh/1000)*0.902</f>
        <v>48163.309629819996</v>
      </c>
      <c r="E6" s="33">
        <f>$C$26*'E Balans VL '!I12/100/3.6*1000000</f>
        <v>408.52756883892033</v>
      </c>
      <c r="F6" s="33">
        <f>$C$26*('E Balans VL '!L12+'E Balans VL '!N12)/100/3.6*1000000</f>
        <v>7957.2579501335249</v>
      </c>
      <c r="G6" s="34"/>
      <c r="H6" s="33"/>
      <c r="I6" s="33"/>
      <c r="J6" s="33">
        <f>$C$26*('E Balans VL '!D12+'E Balans VL '!E12)/100/3.6*1000000</f>
        <v>0</v>
      </c>
      <c r="K6" s="33"/>
      <c r="L6" s="33"/>
      <c r="M6" s="33"/>
      <c r="N6" s="33">
        <f>$C$26*'E Balans VL '!Y12/100/3.6*1000000</f>
        <v>31.31128293638773</v>
      </c>
      <c r="O6" s="33"/>
      <c r="P6" s="33"/>
      <c r="R6" s="32"/>
    </row>
    <row r="7" spans="1:18">
      <c r="A7" s="32" t="s">
        <v>53</v>
      </c>
      <c r="B7" s="37">
        <f t="shared" ref="B7:B12" si="0">B27</f>
        <v>12023.34317</v>
      </c>
      <c r="C7" s="33"/>
      <c r="D7" s="37">
        <f>IF(ISERROR(TER_horeca_gas_kWh/1000),0,TER_horeca_gas_kWh/1000)*0.902</f>
        <v>21115.680246825999</v>
      </c>
      <c r="E7" s="33">
        <f>$C$27*'E Balans VL '!I9/100/3.6*1000000</f>
        <v>397.89952338389747</v>
      </c>
      <c r="F7" s="33">
        <f>$C$27*('E Balans VL '!L9+'E Balans VL '!N9)/100/3.6*1000000</f>
        <v>5169.991484067501</v>
      </c>
      <c r="G7" s="34"/>
      <c r="H7" s="33"/>
      <c r="I7" s="33"/>
      <c r="J7" s="33">
        <f>$C$27*('E Balans VL '!D9+'E Balans VL '!E9)/100/3.6*1000000</f>
        <v>0</v>
      </c>
      <c r="K7" s="33"/>
      <c r="L7" s="33"/>
      <c r="M7" s="33"/>
      <c r="N7" s="33">
        <f>$C$27*'E Balans VL '!Y9/100/3.6*1000000</f>
        <v>2.8941932991223784</v>
      </c>
      <c r="O7" s="33"/>
      <c r="P7" s="33"/>
      <c r="R7" s="32"/>
    </row>
    <row r="8" spans="1:18">
      <c r="A8" s="6" t="s">
        <v>52</v>
      </c>
      <c r="B8" s="37">
        <f t="shared" si="0"/>
        <v>16552.893123999998</v>
      </c>
      <c r="C8" s="33"/>
      <c r="D8" s="37">
        <f>IF(ISERROR(TER_handel_gas_kWh/1000),0,TER_handel_gas_kWh/1000)*0.902</f>
        <v>11309.09664632</v>
      </c>
      <c r="E8" s="33">
        <f>$C$28*'E Balans VL '!I13/100/3.6*1000000</f>
        <v>522.43459906127487</v>
      </c>
      <c r="F8" s="33">
        <f>$C$28*('E Balans VL '!L13+'E Balans VL '!N13)/100/3.6*1000000</f>
        <v>3246.3138199677328</v>
      </c>
      <c r="G8" s="34"/>
      <c r="H8" s="33"/>
      <c r="I8" s="33"/>
      <c r="J8" s="33">
        <f>$C$28*('E Balans VL '!D13+'E Balans VL '!E13)/100/3.6*1000000</f>
        <v>0</v>
      </c>
      <c r="K8" s="33"/>
      <c r="L8" s="33"/>
      <c r="M8" s="33"/>
      <c r="N8" s="33">
        <f>$C$28*'E Balans VL '!Y13/100/3.6*1000000</f>
        <v>19.645070433440907</v>
      </c>
      <c r="O8" s="33"/>
      <c r="P8" s="33"/>
      <c r="R8" s="32"/>
    </row>
    <row r="9" spans="1:18">
      <c r="A9" s="32" t="s">
        <v>51</v>
      </c>
      <c r="B9" s="37">
        <f t="shared" si="0"/>
        <v>1190.9088889</v>
      </c>
      <c r="C9" s="33"/>
      <c r="D9" s="37">
        <f>IF(ISERROR(TER_gezond_gas_kWh/1000),0,TER_gezond_gas_kWh/1000)*0.902</f>
        <v>3181.3320700347999</v>
      </c>
      <c r="E9" s="33">
        <f>$C$29*'E Balans VL '!I10/100/3.6*1000000</f>
        <v>0.15247117704572674</v>
      </c>
      <c r="F9" s="33">
        <f>$C$29*('E Balans VL '!L10+'E Balans VL '!N10)/100/3.6*1000000</f>
        <v>248.11623712383505</v>
      </c>
      <c r="G9" s="34"/>
      <c r="H9" s="33"/>
      <c r="I9" s="33"/>
      <c r="J9" s="33">
        <f>$C$29*('E Balans VL '!D10+'E Balans VL '!E10)/100/3.6*1000000</f>
        <v>0</v>
      </c>
      <c r="K9" s="33"/>
      <c r="L9" s="33"/>
      <c r="M9" s="33"/>
      <c r="N9" s="33">
        <f>$C$29*'E Balans VL '!Y10/100/3.6*1000000</f>
        <v>13.987787797673182</v>
      </c>
      <c r="O9" s="33"/>
      <c r="P9" s="33"/>
      <c r="R9" s="32"/>
    </row>
    <row r="10" spans="1:18">
      <c r="A10" s="32" t="s">
        <v>50</v>
      </c>
      <c r="B10" s="37">
        <f t="shared" si="0"/>
        <v>2532.3284338000003</v>
      </c>
      <c r="C10" s="33"/>
      <c r="D10" s="37">
        <f>IF(ISERROR(TER_ander_gas_kWh/1000),0,TER_ander_gas_kWh/1000)*0.902</f>
        <v>2304.8971217536</v>
      </c>
      <c r="E10" s="33">
        <f>$C$30*'E Balans VL '!I14/100/3.6*1000000</f>
        <v>3.8080264479302577</v>
      </c>
      <c r="F10" s="33">
        <f>$C$30*('E Balans VL '!L14+'E Balans VL '!N14)/100/3.6*1000000</f>
        <v>559.05648959653638</v>
      </c>
      <c r="G10" s="34"/>
      <c r="H10" s="33"/>
      <c r="I10" s="33"/>
      <c r="J10" s="33">
        <f>$C$30*('E Balans VL '!D14+'E Balans VL '!E14)/100/3.6*1000000</f>
        <v>0</v>
      </c>
      <c r="K10" s="33"/>
      <c r="L10" s="33"/>
      <c r="M10" s="33"/>
      <c r="N10" s="33">
        <f>$C$30*'E Balans VL '!Y14/100/3.6*1000000</f>
        <v>1995.6452251125488</v>
      </c>
      <c r="O10" s="33"/>
      <c r="P10" s="33"/>
      <c r="R10" s="32"/>
    </row>
    <row r="11" spans="1:18">
      <c r="A11" s="32" t="s">
        <v>55</v>
      </c>
      <c r="B11" s="37">
        <f t="shared" si="0"/>
        <v>1409.2529768999998</v>
      </c>
      <c r="C11" s="33"/>
      <c r="D11" s="37">
        <f>IF(ISERROR(TER_onderwijs_gas_kWh/1000),0,TER_onderwijs_gas_kWh/1000)*0.902</f>
        <v>1009.1943950154001</v>
      </c>
      <c r="E11" s="33">
        <f>$C$31*'E Balans VL '!I11/100/3.6*1000000</f>
        <v>2.4818125873121515</v>
      </c>
      <c r="F11" s="33">
        <f>$C$31*('E Balans VL '!L11+'E Balans VL '!N11)/100/3.6*1000000</f>
        <v>650.677599825171</v>
      </c>
      <c r="G11" s="34"/>
      <c r="H11" s="33"/>
      <c r="I11" s="33"/>
      <c r="J11" s="33">
        <f>$C$31*('E Balans VL '!D11+'E Balans VL '!E11)/100/3.6*1000000</f>
        <v>0</v>
      </c>
      <c r="K11" s="33"/>
      <c r="L11" s="33"/>
      <c r="M11" s="33"/>
      <c r="N11" s="33">
        <f>$C$31*'E Balans VL '!Y11/100/3.6*1000000</f>
        <v>2.6254577842122644</v>
      </c>
      <c r="O11" s="33"/>
      <c r="P11" s="33"/>
      <c r="R11" s="32"/>
    </row>
    <row r="12" spans="1:18">
      <c r="A12" s="32" t="s">
        <v>260</v>
      </c>
      <c r="B12" s="37">
        <f t="shared" si="0"/>
        <v>23148.759397999998</v>
      </c>
      <c r="C12" s="33"/>
      <c r="D12" s="37">
        <f>IF(ISERROR(TER_rest_gas_kWh/1000),0,TER_rest_gas_kWh/1000)*0.902</f>
        <v>21039.596793974</v>
      </c>
      <c r="E12" s="33">
        <f>$C$32*'E Balans VL '!I8/100/3.6*1000000</f>
        <v>407.56890104994403</v>
      </c>
      <c r="F12" s="33">
        <f>$C$32*('E Balans VL '!L8+'E Balans VL '!N8)/100/3.6*1000000</f>
        <v>5963.8455397868147</v>
      </c>
      <c r="G12" s="34"/>
      <c r="H12" s="33"/>
      <c r="I12" s="33"/>
      <c r="J12" s="33">
        <f>$C$32*('E Balans VL '!D8+'E Balans VL '!E8)/100/3.6*1000000</f>
        <v>0</v>
      </c>
      <c r="K12" s="33"/>
      <c r="L12" s="33"/>
      <c r="M12" s="33"/>
      <c r="N12" s="33">
        <f>$C$32*'E Balans VL '!Y8/100/3.6*1000000</f>
        <v>2042.6918401640869</v>
      </c>
      <c r="O12" s="33"/>
      <c r="P12" s="33"/>
      <c r="R12" s="32"/>
    </row>
    <row r="13" spans="1:18">
      <c r="A13" s="16" t="s">
        <v>491</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89413.683728599994</v>
      </c>
      <c r="C16" s="21">
        <f t="shared" ca="1" si="1"/>
        <v>1928.5714285714287</v>
      </c>
      <c r="D16" s="21">
        <f t="shared" ca="1" si="1"/>
        <v>104265.96404660093</v>
      </c>
      <c r="E16" s="21">
        <f t="shared" si="1"/>
        <v>1742.8729025463247</v>
      </c>
      <c r="F16" s="21">
        <f t="shared" ca="1" si="1"/>
        <v>23795.259120501112</v>
      </c>
      <c r="G16" s="21">
        <f t="shared" si="1"/>
        <v>0</v>
      </c>
      <c r="H16" s="21">
        <f t="shared" si="1"/>
        <v>0</v>
      </c>
      <c r="I16" s="21">
        <f t="shared" si="1"/>
        <v>0</v>
      </c>
      <c r="J16" s="21">
        <f t="shared" si="1"/>
        <v>0</v>
      </c>
      <c r="K16" s="21">
        <f t="shared" si="1"/>
        <v>0</v>
      </c>
      <c r="L16" s="21">
        <f t="shared" ca="1" si="1"/>
        <v>0</v>
      </c>
      <c r="M16" s="21">
        <f t="shared" si="1"/>
        <v>0</v>
      </c>
      <c r="N16" s="21">
        <f t="shared" ca="1" si="1"/>
        <v>4108.8008575274725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0.21465302128784969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19192.917356820235</v>
      </c>
      <c r="C20" s="23">
        <f t="shared" ref="C20:P20" ca="1" si="2">C16*C18</f>
        <v>458.31932773109253</v>
      </c>
      <c r="D20" s="23">
        <f t="shared" ca="1" si="2"/>
        <v>21061.724737413388</v>
      </c>
      <c r="E20" s="23">
        <f t="shared" si="2"/>
        <v>395.6321488780157</v>
      </c>
      <c r="F20" s="23">
        <f t="shared" ca="1" si="2"/>
        <v>6353.3341851737969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31206.197736999999</v>
      </c>
      <c r="C26" s="39">
        <f>IF(ISERROR(B26*3.6/1000000/'E Balans VL '!Z12*100),0,B26*3.6/1000000/'E Balans VL '!Z12*100)</f>
        <v>0.66846099867754494</v>
      </c>
      <c r="D26" s="237" t="s">
        <v>660</v>
      </c>
      <c r="F26" s="6"/>
    </row>
    <row r="27" spans="1:18">
      <c r="A27" s="231" t="s">
        <v>53</v>
      </c>
      <c r="B27" s="33">
        <f>IF(ISERROR(TER_horeca_ele_kWh/1000),0,TER_horeca_ele_kWh/1000)</f>
        <v>12023.34317</v>
      </c>
      <c r="C27" s="39">
        <f>IF(ISERROR(B27*3.6/1000000/'E Balans VL '!Z9*100),0,B27*3.6/1000000/'E Balans VL '!Z9*100)</f>
        <v>0.96483149667822632</v>
      </c>
      <c r="D27" s="237" t="s">
        <v>660</v>
      </c>
      <c r="F27" s="6"/>
    </row>
    <row r="28" spans="1:18">
      <c r="A28" s="171" t="s">
        <v>52</v>
      </c>
      <c r="B28" s="33">
        <f>IF(ISERROR(TER_handel_ele_kWh/1000),0,TER_handel_ele_kWh/1000)</f>
        <v>16552.893123999998</v>
      </c>
      <c r="C28" s="39">
        <f>IF(ISERROR(B28*3.6/1000000/'E Balans VL '!Z13*100),0,B28*3.6/1000000/'E Balans VL '!Z13*100)</f>
        <v>0.48821540355003351</v>
      </c>
      <c r="D28" s="237" t="s">
        <v>660</v>
      </c>
      <c r="F28" s="6"/>
    </row>
    <row r="29" spans="1:18">
      <c r="A29" s="231" t="s">
        <v>51</v>
      </c>
      <c r="B29" s="33">
        <f>IF(ISERROR(TER_gezond_ele_kWh/1000),0,TER_gezond_ele_kWh/1000)</f>
        <v>1190.9088889</v>
      </c>
      <c r="C29" s="39">
        <f>IF(ISERROR(B29*3.6/1000000/'E Balans VL '!Z10*100),0,B29*3.6/1000000/'E Balans VL '!Z10*100)</f>
        <v>0.12715713986986352</v>
      </c>
      <c r="D29" s="237" t="s">
        <v>660</v>
      </c>
      <c r="F29" s="6"/>
    </row>
    <row r="30" spans="1:18">
      <c r="A30" s="231" t="s">
        <v>50</v>
      </c>
      <c r="B30" s="33">
        <f>IF(ISERROR(TER_ander_ele_kWh/1000),0,TER_ander_ele_kWh/1000)</f>
        <v>2532.3284338000003</v>
      </c>
      <c r="C30" s="39">
        <f>IF(ISERROR(B30*3.6/1000000/'E Balans VL '!Z14*100),0,B30*3.6/1000000/'E Balans VL '!Z14*100)</f>
        <v>0.19127671065756355</v>
      </c>
      <c r="D30" s="237" t="s">
        <v>660</v>
      </c>
      <c r="F30" s="6"/>
    </row>
    <row r="31" spans="1:18">
      <c r="A31" s="231" t="s">
        <v>55</v>
      </c>
      <c r="B31" s="33">
        <f>IF(ISERROR(TER_onderwijs_ele_kWh/1000),0,TER_onderwijs_ele_kWh/1000)</f>
        <v>1409.2529768999998</v>
      </c>
      <c r="C31" s="39">
        <f>IF(ISERROR(B31*3.6/1000000/'E Balans VL '!Z11*100),0,B31*3.6/1000000/'E Balans VL '!Z11*100)</f>
        <v>0.2845752205348645</v>
      </c>
      <c r="D31" s="237" t="s">
        <v>660</v>
      </c>
    </row>
    <row r="32" spans="1:18">
      <c r="A32" s="231" t="s">
        <v>260</v>
      </c>
      <c r="B32" s="33">
        <f>IF(ISERROR(TER_rest_ele_kWh/1000),0,TER_rest_ele_kWh/1000)</f>
        <v>23148.759397999998</v>
      </c>
      <c r="C32" s="39">
        <f>IF(ISERROR(B32*3.6/1000000/'E Balans VL '!Z8*100),0,B32*3.6/1000000/'E Balans VL '!Z8*100)</f>
        <v>0.19193544982433877</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43991.976805325292</v>
      </c>
      <c r="C5" s="17">
        <f>IF(ISERROR('Eigen informatie GS &amp; warmtenet'!B59),0,'Eigen informatie GS &amp; warmtenet'!B59)</f>
        <v>0</v>
      </c>
      <c r="D5" s="30">
        <f>SUM(D6:D15)</f>
        <v>12612.953729503161</v>
      </c>
      <c r="E5" s="17">
        <f>SUM(E6:E15)</f>
        <v>3028.2723136609156</v>
      </c>
      <c r="F5" s="17">
        <f>SUM(F6:F15)</f>
        <v>11645.214224324747</v>
      </c>
      <c r="G5" s="18"/>
      <c r="H5" s="17"/>
      <c r="I5" s="17"/>
      <c r="J5" s="17">
        <f>SUM(J6:J15)</f>
        <v>275.59535881273376</v>
      </c>
      <c r="K5" s="17"/>
      <c r="L5" s="17"/>
      <c r="M5" s="17"/>
      <c r="N5" s="17">
        <f>SUM(N6:N15)</f>
        <v>8604.9977540203417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576.07906923000007</v>
      </c>
      <c r="C8" s="33"/>
      <c r="D8" s="37">
        <f>IF( ISERROR(IND_metaal_Gas_kWH/1000),0,IND_metaal_Gas_kWH/1000)*0.902</f>
        <v>371.06256601128001</v>
      </c>
      <c r="E8" s="33">
        <f>C30*'E Balans VL '!I18/100/3.6*1000000</f>
        <v>20.729067668217866</v>
      </c>
      <c r="F8" s="33">
        <f>C30*'E Balans VL '!L18/100/3.6*1000000+C30*'E Balans VL '!N18/100/3.6*1000000</f>
        <v>251.55505505850087</v>
      </c>
      <c r="G8" s="34"/>
      <c r="H8" s="33"/>
      <c r="I8" s="33"/>
      <c r="J8" s="40">
        <f>C30*'E Balans VL '!D18/100/3.6*1000000+C30*'E Balans VL '!E18/100/3.6*1000000</f>
        <v>0</v>
      </c>
      <c r="K8" s="33"/>
      <c r="L8" s="33"/>
      <c r="M8" s="33"/>
      <c r="N8" s="33">
        <f>C30*'E Balans VL '!Y18/100/3.6*1000000</f>
        <v>28.872691462598233</v>
      </c>
      <c r="O8" s="33"/>
      <c r="P8" s="33"/>
      <c r="R8" s="32"/>
    </row>
    <row r="9" spans="1:18">
      <c r="A9" s="6" t="s">
        <v>33</v>
      </c>
      <c r="B9" s="37">
        <f t="shared" si="0"/>
        <v>4548.2761990999998</v>
      </c>
      <c r="C9" s="33"/>
      <c r="D9" s="37">
        <f>IF( ISERROR(IND_andere_gas_kWh/1000),0,IND_andere_gas_kWh/1000)*0.902</f>
        <v>3178.5233155478004</v>
      </c>
      <c r="E9" s="33">
        <f>C31*'E Balans VL '!I19/100/3.6*1000000</f>
        <v>1160.6171783789794</v>
      </c>
      <c r="F9" s="33">
        <f>C31*'E Balans VL '!L19/100/3.6*1000000+C31*'E Balans VL '!N19/100/3.6*1000000</f>
        <v>3915.7239456955331</v>
      </c>
      <c r="G9" s="34"/>
      <c r="H9" s="33"/>
      <c r="I9" s="33"/>
      <c r="J9" s="40">
        <f>C31*'E Balans VL '!D19/100/3.6*1000000+C31*'E Balans VL '!E19/100/3.6*1000000</f>
        <v>0</v>
      </c>
      <c r="K9" s="33"/>
      <c r="L9" s="33"/>
      <c r="M9" s="33"/>
      <c r="N9" s="33">
        <f>C31*'E Balans VL '!Y19/100/3.6*1000000</f>
        <v>1422.4017296507759</v>
      </c>
      <c r="O9" s="33"/>
      <c r="P9" s="33"/>
      <c r="R9" s="32"/>
    </row>
    <row r="10" spans="1:18">
      <c r="A10" s="6" t="s">
        <v>41</v>
      </c>
      <c r="B10" s="37">
        <f t="shared" si="0"/>
        <v>541.82895469000005</v>
      </c>
      <c r="C10" s="33"/>
      <c r="D10" s="37">
        <f>IF( ISERROR(IND_voed_gas_kWh/1000),0,IND_voed_gas_kWh/1000)*0.902</f>
        <v>379.70182693146</v>
      </c>
      <c r="E10" s="33">
        <f>C32*'E Balans VL '!I20/100/3.6*1000000</f>
        <v>13.774036020343488</v>
      </c>
      <c r="F10" s="33">
        <f>C32*'E Balans VL '!L20/100/3.6*1000000+C32*'E Balans VL '!N20/100/3.6*1000000</f>
        <v>122.60775889229893</v>
      </c>
      <c r="G10" s="34"/>
      <c r="H10" s="33"/>
      <c r="I10" s="33"/>
      <c r="J10" s="40">
        <f>C32*'E Balans VL '!D20/100/3.6*1000000+C32*'E Balans VL '!E20/100/3.6*1000000</f>
        <v>0</v>
      </c>
      <c r="K10" s="33"/>
      <c r="L10" s="33"/>
      <c r="M10" s="33"/>
      <c r="N10" s="33">
        <f>C32*'E Balans VL '!Y20/100/3.6*1000000</f>
        <v>203.2005448602545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9.2382144173</v>
      </c>
      <c r="C12" s="33"/>
      <c r="D12" s="37">
        <f>IF( ISERROR(IND_min_gas_kWh/1000),0,IND_min_gas_kWh/1000)*0.902</f>
        <v>0</v>
      </c>
      <c r="E12" s="33">
        <f>C34*'E Balans VL '!I22/100/3.6*1000000</f>
        <v>0.19628890334942567</v>
      </c>
      <c r="F12" s="33">
        <f>C34*'E Balans VL '!L22/100/3.6*1000000+C34*'E Balans VL '!N22/100/3.6*1000000</f>
        <v>1.5072934111567906</v>
      </c>
      <c r="G12" s="34"/>
      <c r="H12" s="33"/>
      <c r="I12" s="33"/>
      <c r="J12" s="40">
        <f>C34*'E Balans VL '!D22/100/3.6*1000000+C34*'E Balans VL '!E22/100/3.6*1000000</f>
        <v>1.0763381911053431E-2</v>
      </c>
      <c r="K12" s="33"/>
      <c r="L12" s="33"/>
      <c r="M12" s="33"/>
      <c r="N12" s="33">
        <f>C34*'E Balans VL '!Y22/100/3.6*1000000</f>
        <v>0</v>
      </c>
      <c r="O12" s="33"/>
      <c r="P12" s="33"/>
      <c r="R12" s="32"/>
    </row>
    <row r="13" spans="1:18">
      <c r="A13" s="6" t="s">
        <v>39</v>
      </c>
      <c r="B13" s="37">
        <f t="shared" si="0"/>
        <v>52.298786487999998</v>
      </c>
      <c r="C13" s="33"/>
      <c r="D13" s="37">
        <f>IF( ISERROR(IND_papier_gas_kWh/1000),0,IND_papier_gas_kWh/1000)*0.902</f>
        <v>99.86456605202001</v>
      </c>
      <c r="E13" s="33">
        <f>C35*'E Balans VL '!I23/100/3.6*1000000</f>
        <v>0.22429428059998346</v>
      </c>
      <c r="F13" s="33">
        <f>C35*'E Balans VL '!L23/100/3.6*1000000+C35*'E Balans VL '!N23/100/3.6*1000000</f>
        <v>1.3144308295430758</v>
      </c>
      <c r="G13" s="34"/>
      <c r="H13" s="33"/>
      <c r="I13" s="33"/>
      <c r="J13" s="40">
        <f>C35*'E Balans VL '!D23/100/3.6*1000000+C35*'E Balans VL '!E23/100/3.6*1000000</f>
        <v>3.5011169083274414</v>
      </c>
      <c r="K13" s="33"/>
      <c r="L13" s="33"/>
      <c r="M13" s="33"/>
      <c r="N13" s="33">
        <f>C35*'E Balans VL '!Y23/100/3.6*1000000</f>
        <v>95.19622853409264</v>
      </c>
      <c r="O13" s="33"/>
      <c r="P13" s="33"/>
      <c r="R13" s="32"/>
    </row>
    <row r="14" spans="1:18">
      <c r="A14" s="6" t="s">
        <v>34</v>
      </c>
      <c r="B14" s="37">
        <f t="shared" si="0"/>
        <v>4703.1848393999999</v>
      </c>
      <c r="C14" s="33"/>
      <c r="D14" s="37">
        <f>IF( ISERROR(IND_chemie_gas_kWh/1000),0,IND_chemie_gas_kWh/1000)*0.902</f>
        <v>3737.4508438960002</v>
      </c>
      <c r="E14" s="33">
        <f>C36*'E Balans VL '!I24/100/3.6*1000000</f>
        <v>11.275148960538631</v>
      </c>
      <c r="F14" s="33">
        <f>C36*'E Balans VL '!L24/100/3.6*1000000+C36*'E Balans VL '!N24/100/3.6*1000000</f>
        <v>37.744122216485486</v>
      </c>
      <c r="G14" s="34"/>
      <c r="H14" s="33"/>
      <c r="I14" s="33"/>
      <c r="J14" s="40">
        <f>C36*'E Balans VL '!D24/100/3.6*1000000+C36*'E Balans VL '!E24/100/3.6*1000000</f>
        <v>0</v>
      </c>
      <c r="K14" s="33"/>
      <c r="L14" s="33"/>
      <c r="M14" s="33"/>
      <c r="N14" s="33">
        <f>C36*'E Balans VL '!Y24/100/3.6*1000000</f>
        <v>97.21118443566192</v>
      </c>
      <c r="O14" s="33"/>
      <c r="P14" s="33"/>
      <c r="R14" s="32"/>
    </row>
    <row r="15" spans="1:18">
      <c r="A15" s="6" t="s">
        <v>270</v>
      </c>
      <c r="B15" s="37">
        <f t="shared" si="0"/>
        <v>33561.070741999996</v>
      </c>
      <c r="C15" s="33"/>
      <c r="D15" s="37">
        <f>IF( ISERROR(IND_rest_gas_kWh/1000),0,IND_rest_gas_kWh/1000)*0.902</f>
        <v>4846.3506110645994</v>
      </c>
      <c r="E15" s="33">
        <f>C37*'E Balans VL '!I15/100/3.6*1000000</f>
        <v>1821.4562994488872</v>
      </c>
      <c r="F15" s="33">
        <f>C37*'E Balans VL '!L15/100/3.6*1000000+C37*'E Balans VL '!N15/100/3.6*1000000</f>
        <v>7314.7616182212296</v>
      </c>
      <c r="G15" s="34"/>
      <c r="H15" s="33"/>
      <c r="I15" s="33"/>
      <c r="J15" s="40">
        <f>C37*'E Balans VL '!D15/100/3.6*1000000+C37*'E Balans VL '!E15/100/3.6*1000000</f>
        <v>272.08347852249528</v>
      </c>
      <c r="K15" s="33"/>
      <c r="L15" s="33"/>
      <c r="M15" s="33"/>
      <c r="N15" s="33">
        <f>C37*'E Balans VL '!Y15/100/3.6*1000000</f>
        <v>6758.115375076959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43991.976805325292</v>
      </c>
      <c r="C18" s="21">
        <f>C5+C16</f>
        <v>0</v>
      </c>
      <c r="D18" s="21">
        <f>MAX((D5+D16),0)</f>
        <v>12612.953729503161</v>
      </c>
      <c r="E18" s="21">
        <f>MAX((E5+E16),0)</f>
        <v>3028.2723136609156</v>
      </c>
      <c r="F18" s="21">
        <f>MAX((F5+F16),0)</f>
        <v>11645.214224324747</v>
      </c>
      <c r="G18" s="21"/>
      <c r="H18" s="21"/>
      <c r="I18" s="21"/>
      <c r="J18" s="21">
        <f>MAX((J5+J16),0)</f>
        <v>275.59535881273376</v>
      </c>
      <c r="K18" s="21"/>
      <c r="L18" s="21">
        <f>MAX((L5+L16),0)</f>
        <v>0</v>
      </c>
      <c r="M18" s="21"/>
      <c r="N18" s="21">
        <f>MAX((N5+N16),0)</f>
        <v>8604.9977540203417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0.21465302128784969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9443.0107336880792</v>
      </c>
      <c r="C22" s="23">
        <f ca="1">C18*C20</f>
        <v>0</v>
      </c>
      <c r="D22" s="23">
        <f>D18*D20</f>
        <v>2547.8166533596386</v>
      </c>
      <c r="E22" s="23">
        <f>E18*E20</f>
        <v>687.41781520102791</v>
      </c>
      <c r="F22" s="23">
        <f>F18*F20</f>
        <v>3109.2721978947075</v>
      </c>
      <c r="G22" s="23"/>
      <c r="H22" s="23"/>
      <c r="I22" s="23"/>
      <c r="J22" s="23">
        <f>J18*J20</f>
        <v>97.560757019707751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576.07906923000007</v>
      </c>
      <c r="C30" s="39">
        <f>IF(ISERROR(B30*3.6/1000000/'E Balans VL '!Z18*100),0,B30*3.6/1000000/'E Balans VL '!Z18*100)</f>
        <v>0.12205880396010502</v>
      </c>
      <c r="D30" s="237" t="s">
        <v>660</v>
      </c>
    </row>
    <row r="31" spans="1:18">
      <c r="A31" s="6" t="s">
        <v>33</v>
      </c>
      <c r="B31" s="37">
        <f>IF( ISERROR(IND_ander_ele_kWh/1000),0,IND_ander_ele_kWh/1000)</f>
        <v>4548.2761990999998</v>
      </c>
      <c r="C31" s="39">
        <f>IF(ISERROR(B31*3.6/1000000/'E Balans VL '!Z19*100),0,B31*3.6/1000000/'E Balans VL '!Z19*100)</f>
        <v>0.19144727283231408</v>
      </c>
      <c r="D31" s="237" t="s">
        <v>660</v>
      </c>
    </row>
    <row r="32" spans="1:18">
      <c r="A32" s="171" t="s">
        <v>41</v>
      </c>
      <c r="B32" s="37">
        <f>IF( ISERROR(IND_voed_ele_kWh/1000),0,IND_voed_ele_kWh/1000)</f>
        <v>541.82895469000005</v>
      </c>
      <c r="C32" s="39">
        <f>IF(ISERROR(B32*3.6/1000000/'E Balans VL '!Z20*100),0,B32*3.6/1000000/'E Balans VL '!Z20*100)</f>
        <v>9.0518657253960161E-2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9.2382144173</v>
      </c>
      <c r="C34" s="39">
        <f>IF(ISERROR(B34*3.6/1000000/'E Balans VL '!Z22*100),0,B34*3.6/1000000/'E Balans VL '!Z22*100)</f>
        <v>1.1709934989359815E-3</v>
      </c>
      <c r="D34" s="237" t="s">
        <v>660</v>
      </c>
    </row>
    <row r="35" spans="1:5">
      <c r="A35" s="171" t="s">
        <v>39</v>
      </c>
      <c r="B35" s="37">
        <f>IF( ISERROR(IND_papier_ele_kWh/1000),0,IND_papier_ele_kWh/1000)</f>
        <v>52.298786487999998</v>
      </c>
      <c r="C35" s="39">
        <f>IF(ISERROR(B35*3.6/1000000/'E Balans VL '!Z22*100),0,B35*3.6/1000000/'E Balans VL '!Z22*100)</f>
        <v>6.6291532338765159E-3</v>
      </c>
      <c r="D35" s="237" t="s">
        <v>660</v>
      </c>
    </row>
    <row r="36" spans="1:5">
      <c r="A36" s="171" t="s">
        <v>34</v>
      </c>
      <c r="B36" s="37">
        <f>IF( ISERROR(IND_chemie_ele_kWh/1000),0,IND_chemie_ele_kWh/1000)</f>
        <v>4703.1848393999999</v>
      </c>
      <c r="C36" s="39">
        <f>IF(ISERROR(B36*3.6/1000000/'E Balans VL '!Z24*100),0,B36*3.6/1000000/'E Balans VL '!Z24*100)</f>
        <v>0.15275959525069102</v>
      </c>
      <c r="D36" s="237" t="s">
        <v>660</v>
      </c>
    </row>
    <row r="37" spans="1:5">
      <c r="A37" s="171" t="s">
        <v>270</v>
      </c>
      <c r="B37" s="37">
        <f>IF( ISERROR(IND_rest_ele_kWh/1000),0,IND_rest_ele_kWh/1000)</f>
        <v>33561.070741999996</v>
      </c>
      <c r="C37" s="39">
        <f>IF(ISERROR(B37*3.6/1000000/'E Balans VL '!Z15*100),0,B37*3.6/1000000/'E Balans VL '!Z15*100)</f>
        <v>0.27095151954238705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52.871509734999997</v>
      </c>
      <c r="C5" s="17">
        <f>'Eigen informatie GS &amp; warmtenet'!B60</f>
        <v>0</v>
      </c>
      <c r="D5" s="30">
        <f>IF(ISERROR(SUM(LB_lb_gas_kWh,LB_rest_gas_kWh,onbekend_gas_kWh)/1000),0,SUM(LB_lb_gas_kWh,LB_rest_gas_kWh,onbekend_gas_kWh)/1000)*0.902</f>
        <v>11922.186722801962</v>
      </c>
      <c r="E5" s="17">
        <f>B17*'E Balans VL '!I25/3.6*1000000/100</f>
        <v>1.3633532329384246</v>
      </c>
      <c r="F5" s="17">
        <f>B17*('E Balans VL '!L25/3.6*1000000+'E Balans VL '!N25/3.6*1000000)/100</f>
        <v>193.25543697133614</v>
      </c>
      <c r="G5" s="18"/>
      <c r="H5" s="17"/>
      <c r="I5" s="17"/>
      <c r="J5" s="17">
        <f>('E Balans VL '!D25+'E Balans VL '!E25)/3.6*1000000*landbouw!B17/100</f>
        <v>7.6115524357423885</v>
      </c>
      <c r="K5" s="17"/>
      <c r="L5" s="17">
        <f>L6*(-1)</f>
        <v>0</v>
      </c>
      <c r="M5" s="17"/>
      <c r="N5" s="17">
        <f>N6*(-1)</f>
        <v>0</v>
      </c>
      <c r="O5" s="17"/>
      <c r="P5" s="17"/>
      <c r="R5" s="32"/>
    </row>
    <row r="6" spans="1:18">
      <c r="A6" s="16" t="s">
        <v>491</v>
      </c>
      <c r="B6" s="17" t="s">
        <v>211</v>
      </c>
      <c r="C6" s="17">
        <f>'lokale energieproductie'!O91+'lokale energieproductie'!O60</f>
        <v>25.714285714285715</v>
      </c>
      <c r="D6" s="310">
        <f>('lokale energieproductie'!P60+'lokale energieproductie'!P91)*(-1)</f>
        <v>-51.428571428571431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52.871509734999997</v>
      </c>
      <c r="C8" s="21">
        <f>C5+C6</f>
        <v>25.714285714285715</v>
      </c>
      <c r="D8" s="21">
        <f>MAX((D5+D6),0)</f>
        <v>11870.758151373391</v>
      </c>
      <c r="E8" s="21">
        <f>MAX((E5+E6),0)</f>
        <v>1.3633532329384246</v>
      </c>
      <c r="F8" s="21">
        <f>MAX((F5+F6),0)</f>
        <v>193.25543697133614</v>
      </c>
      <c r="G8" s="21"/>
      <c r="H8" s="21"/>
      <c r="I8" s="21"/>
      <c r="J8" s="21">
        <f>MAX((J5+J6),0)</f>
        <v>7.6115524357423885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0.21465302128784969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11.349029304667706</v>
      </c>
      <c r="C12" s="23">
        <f ca="1">C8*C10</f>
        <v>6.1109243697478997</v>
      </c>
      <c r="D12" s="23">
        <f>D8*D10</f>
        <v>2397.8931465774253</v>
      </c>
      <c r="E12" s="23">
        <f>E8*E10</f>
        <v>0.30948118387702239</v>
      </c>
      <c r="F12" s="23">
        <f>F8*F10</f>
        <v>51.599201671346755</v>
      </c>
      <c r="G12" s="23"/>
      <c r="H12" s="23"/>
      <c r="I12" s="23"/>
      <c r="J12" s="23">
        <f>J8*J10</f>
        <v>2.6944895622528056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7.4552330856627021E-3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4.0631847405070296</v>
      </c>
      <c r="C26" s="247">
        <f>B26*'GWP N2O_CH4'!B5</f>
        <v>85.326879550647618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0.23448851534056181</v>
      </c>
      <c r="C27" s="247">
        <f>B27*'GWP N2O_CH4'!B5</f>
        <v>4.9242588221517982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4.7059785179157619E-2</v>
      </c>
      <c r="C28" s="247">
        <f>B28*'GWP N2O_CH4'!B4</f>
        <v>14.588533405538861</v>
      </c>
      <c r="D28" s="50"/>
    </row>
    <row r="29" spans="1:4">
      <c r="A29" s="41" t="s">
        <v>277</v>
      </c>
      <c r="B29" s="247">
        <f>B34*'ha_N2O bodem landbouw'!B4</f>
        <v>2.7377224847793693</v>
      </c>
      <c r="C29" s="247">
        <f>B29*'GWP N2O_CH4'!B4</f>
        <v>848.69397028160449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6.1613633124287339E-4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3.5061308602040336E-4</v>
      </c>
      <c r="C5" s="463" t="s">
        <v>211</v>
      </c>
      <c r="D5" s="448">
        <f>SUM(D6:D11)</f>
        <v>7.5871020587585315E-4</v>
      </c>
      <c r="E5" s="448">
        <f>SUM(E6:E11)</f>
        <v>3.4373437250165423E-3</v>
      </c>
      <c r="F5" s="461" t="s">
        <v>211</v>
      </c>
      <c r="G5" s="448">
        <f>SUM(G6:G11)</f>
        <v>1.1312716846525008</v>
      </c>
      <c r="H5" s="448">
        <f>SUM(H6:H11)</f>
        <v>0.21038539230032005</v>
      </c>
      <c r="I5" s="463" t="s">
        <v>211</v>
      </c>
      <c r="J5" s="463" t="s">
        <v>211</v>
      </c>
      <c r="K5" s="463" t="s">
        <v>211</v>
      </c>
      <c r="L5" s="463" t="s">
        <v>211</v>
      </c>
      <c r="M5" s="448">
        <f>SUM(M6:M11)</f>
        <v>4.1943815416068626E-2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8.6904511352170276E-5</v>
      </c>
      <c r="C6" s="449"/>
      <c r="D6" s="962">
        <f>vkm_2011_GW_PW*SUMIFS(TableVerdeelsleutelVkm[CNG],TableVerdeelsleutelVkm[Voertuigtype],"Lichte voertuigen")*SUMIFS(TableECFTransport[EnergieConsumptieFactor (PJ per km)],TableECFTransport[Index],CONCATENATE($A6,"_CNG_CNG"))</f>
        <v>1.7268078632263028E-4</v>
      </c>
      <c r="E6" s="962">
        <f>vkm_2011_GW_PW*SUMIFS(TableVerdeelsleutelVkm[LPG],TableVerdeelsleutelVkm[Voertuigtype],"Lichte voertuigen")*SUMIFS(TableECFTransport[EnergieConsumptieFactor (PJ per km)],TableECFTransport[Index],CONCATENATE($A6,"_LPG_LPG"))</f>
        <v>6.7956079560103986E-4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0.16157624010337107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4.6749883844142318E-2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6.4916343933600516E-3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6.1356863323422058E-2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1.9820887620324402E-5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1.933260882652982E-3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2.6067961093690377E-5</v>
      </c>
      <c r="C8" s="449"/>
      <c r="D8" s="451">
        <f>vkm_2011_NGW_PW*SUMIFS(TableVerdeelsleutelVkm[CNG],TableVerdeelsleutelVkm[Voertuigtype],"Lichte voertuigen")*SUMIFS(TableECFTransport[EnergieConsumptieFactor (PJ per km)],TableECFTransport[Index],CONCATENATE($A8,"_CNG_CNG"))</f>
        <v>9.1714468976083645E-5</v>
      </c>
      <c r="E8" s="451">
        <f>vkm_2011_NGW_PW*SUMIFS(TableVerdeelsleutelVkm[LPG],TableVerdeelsleutelVkm[Voertuigtype],"Lichte voertuigen")*SUMIFS(TableECFTransport[EnergieConsumptieFactor (PJ per km)],TableECFTransport[Index],CONCATENATE($A8,"_LPG_LPG"))</f>
        <v>3.3379585065207695E-4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7.4112062187749309E-2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2.4076391111556735E-2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3.0565682370858986E-3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7.7453147850396397E-3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2.3662593401696573E-6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2.4403894463087669E-4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2.3764061357454272E-4</v>
      </c>
      <c r="C10" s="449"/>
      <c r="D10" s="451">
        <f>vkm_2011_SW_PW*SUMIFS(TableVerdeelsleutelVkm[CNG],TableVerdeelsleutelVkm[Voertuigtype],"Lichte voertuigen")*SUMIFS(TableECFTransport[EnergieConsumptieFactor (PJ per km)],TableECFTransport[Index],CONCATENATE($A10,"_CNG_CNG"))</f>
        <v>4.9431495057713928E-4</v>
      </c>
      <c r="E10" s="451">
        <f>vkm_2011_SW_PW*SUMIFS(TableVerdeelsleutelVkm[LPG],TableVerdeelsleutelVkm[Voertuigtype],"Lichte voertuigen")*SUMIFS(TableECFTransport[EnergieConsumptieFactor (PJ per km)],TableECFTransport[Index],CONCATENATE($A10,"_LPG_LPG"))</f>
        <v>2.4239870787634253E-3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0.51628141646901859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0.13942896252793513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2.0444159530450139E-2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0.31019978778390023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1.0796766972537119E-4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9.7741534278886783E-3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97.39252389455649</v>
      </c>
      <c r="C14" s="21"/>
      <c r="D14" s="21">
        <f t="shared" ref="D14:M14" si="0">((D5)*10^9/3600)+D12</f>
        <v>210.75283496551478</v>
      </c>
      <c r="E14" s="21">
        <f t="shared" si="0"/>
        <v>954.81770139348396</v>
      </c>
      <c r="F14" s="21"/>
      <c r="G14" s="21">
        <f t="shared" si="0"/>
        <v>314242.13462569471</v>
      </c>
      <c r="H14" s="21">
        <f t="shared" si="0"/>
        <v>58440.386750088903</v>
      </c>
      <c r="I14" s="21"/>
      <c r="J14" s="21"/>
      <c r="K14" s="21"/>
      <c r="L14" s="21"/>
      <c r="M14" s="21">
        <f t="shared" si="0"/>
        <v>11651.059837796842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0.21465302128784969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20.905599504815644</v>
      </c>
      <c r="C18" s="23"/>
      <c r="D18" s="23">
        <f t="shared" ref="D18:M18" si="1">D14*D16</f>
        <v>42.572072663033985</v>
      </c>
      <c r="E18" s="23">
        <f t="shared" si="1"/>
        <v>216.74361821632087</v>
      </c>
      <c r="F18" s="23"/>
      <c r="G18" s="23">
        <f t="shared" si="1"/>
        <v>83902.64994506049</v>
      </c>
      <c r="H18" s="23">
        <f t="shared" si="1"/>
        <v>14551.656300772136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1.653998153744524E-2</v>
      </c>
      <c r="H50" s="321">
        <f t="shared" si="2"/>
        <v>0</v>
      </c>
      <c r="I50" s="321">
        <f t="shared" si="2"/>
        <v>0</v>
      </c>
      <c r="J50" s="321">
        <f t="shared" si="2"/>
        <v>0</v>
      </c>
      <c r="K50" s="321">
        <f t="shared" si="2"/>
        <v>0</v>
      </c>
      <c r="L50" s="321">
        <f t="shared" si="2"/>
        <v>0</v>
      </c>
      <c r="M50" s="321">
        <f t="shared" si="2"/>
        <v>5.1303322434111771E-4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1.653998153744524E-2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5.1303322434111771E-4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4594.4393159570109</v>
      </c>
      <c r="H54" s="21">
        <f t="shared" si="3"/>
        <v>0</v>
      </c>
      <c r="I54" s="21">
        <f t="shared" si="3"/>
        <v>0</v>
      </c>
      <c r="J54" s="21">
        <f t="shared" si="3"/>
        <v>0</v>
      </c>
      <c r="K54" s="21">
        <f t="shared" si="3"/>
        <v>0</v>
      </c>
      <c r="L54" s="21">
        <f t="shared" si="3"/>
        <v>0</v>
      </c>
      <c r="M54" s="21">
        <f t="shared" si="3"/>
        <v>142.50922898364382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0.21465302128784969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1226.7152973605221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5574.6529815202475</v>
      </c>
      <c r="C6" s="1203"/>
      <c r="D6" s="1188"/>
      <c r="E6" s="1188"/>
      <c r="F6" s="1206"/>
      <c r="G6" s="1209"/>
      <c r="H6" s="1200"/>
      <c r="I6" s="1188"/>
      <c r="J6" s="1188"/>
      <c r="K6" s="1188"/>
      <c r="L6" s="1192"/>
      <c r="M6" s="575"/>
      <c r="N6" s="1166"/>
      <c r="O6" s="1167"/>
      <c r="Q6" s="573"/>
      <c r="R6" s="1154"/>
      <c r="S6" s="1154"/>
    </row>
    <row r="7" spans="1:19" s="563" customFormat="1">
      <c r="A7" s="576" t="s">
        <v>252</v>
      </c>
      <c r="B7" s="577">
        <f>N57</f>
        <v>1368</v>
      </c>
      <c r="C7" s="578">
        <f>B100</f>
        <v>1609.4117647058822</v>
      </c>
      <c r="D7" s="579"/>
      <c r="E7" s="579">
        <f>E100</f>
        <v>0</v>
      </c>
      <c r="F7" s="580"/>
      <c r="G7" s="581"/>
      <c r="H7" s="579">
        <f>I100</f>
        <v>0</v>
      </c>
      <c r="I7" s="579">
        <f>G100+F100</f>
        <v>0</v>
      </c>
      <c r="J7" s="579">
        <f>H100+D100+C100</f>
        <v>0</v>
      </c>
      <c r="K7" s="579"/>
      <c r="L7" s="582"/>
      <c r="M7" s="583">
        <f>C7*$C$11+D7*$D$11+E7*$E$11+F7*$F$11+G7*$G$11+H7*$H$11+I7*$I$11+J7*$J$11</f>
        <v>325.1011764705882</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6942.6529815202475</v>
      </c>
      <c r="C9" s="594">
        <f t="shared" ref="C9:L9" si="0">SUM(C7:C8)</f>
        <v>1609.4117647058822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325.1011764705882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1954.2857142857144</v>
      </c>
      <c r="C16" s="610">
        <f>B101</f>
        <v>2299.1596638655465</v>
      </c>
      <c r="D16" s="611"/>
      <c r="E16" s="611">
        <f>E101</f>
        <v>0</v>
      </c>
      <c r="F16" s="612"/>
      <c r="G16" s="613"/>
      <c r="H16" s="610">
        <f>I101</f>
        <v>0</v>
      </c>
      <c r="I16" s="611">
        <f>G101+F101</f>
        <v>0</v>
      </c>
      <c r="J16" s="611">
        <f>H101+D101+C101</f>
        <v>0</v>
      </c>
      <c r="K16" s="611"/>
      <c r="L16" s="614"/>
      <c r="M16" s="615">
        <f>C16*$C$21+E16*$E$21+H16*$H$21+I16*$I$21+J16*$J$21+D16*$D$21+F16*$F$21+G16*$G$21+K16*$K$21+L16*$L$21</f>
        <v>464.43025210084039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1954.2857142857144</v>
      </c>
      <c r="C19" s="593">
        <f>SUM(C16:C18)</f>
        <v>2299.1596638655465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464.43025210084039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23088</v>
      </c>
      <c r="C27" s="851">
        <v>1800</v>
      </c>
      <c r="D27" s="672" t="s">
        <v>818</v>
      </c>
      <c r="E27" s="671" t="s">
        <v>819</v>
      </c>
      <c r="F27" s="671" t="s">
        <v>820</v>
      </c>
      <c r="G27" s="671" t="s">
        <v>821</v>
      </c>
      <c r="H27" s="671" t="s">
        <v>822</v>
      </c>
      <c r="I27" s="671" t="s">
        <v>823</v>
      </c>
      <c r="J27" s="850">
        <v>38307</v>
      </c>
      <c r="K27" s="850">
        <v>38473</v>
      </c>
      <c r="L27" s="671" t="s">
        <v>824</v>
      </c>
      <c r="M27" s="671">
        <v>300</v>
      </c>
      <c r="N27" s="671">
        <v>1350</v>
      </c>
      <c r="O27" s="671">
        <v>1928.5714285714287</v>
      </c>
      <c r="P27" s="671">
        <v>3857.1428571428573</v>
      </c>
      <c r="Q27" s="671">
        <v>0</v>
      </c>
      <c r="R27" s="671">
        <v>0</v>
      </c>
      <c r="S27" s="671">
        <v>0</v>
      </c>
      <c r="T27" s="671">
        <v>0</v>
      </c>
      <c r="U27" s="671">
        <v>0</v>
      </c>
      <c r="V27" s="671">
        <v>0</v>
      </c>
      <c r="W27" s="671">
        <v>0</v>
      </c>
      <c r="X27" s="671">
        <v>1300</v>
      </c>
      <c r="Y27" s="671" t="s">
        <v>54</v>
      </c>
      <c r="Z27" s="673" t="s">
        <v>156</v>
      </c>
    </row>
    <row r="28" spans="1:26" s="625" customFormat="1" ht="25.5">
      <c r="A28" s="624"/>
      <c r="B28" s="851">
        <v>23088</v>
      </c>
      <c r="C28" s="851">
        <v>1800</v>
      </c>
      <c r="D28" s="672" t="s">
        <v>825</v>
      </c>
      <c r="E28" s="671" t="s">
        <v>826</v>
      </c>
      <c r="F28" s="671" t="s">
        <v>827</v>
      </c>
      <c r="G28" s="671" t="s">
        <v>821</v>
      </c>
      <c r="H28" s="671" t="s">
        <v>822</v>
      </c>
      <c r="I28" s="671" t="s">
        <v>826</v>
      </c>
      <c r="J28" s="850">
        <v>41262</v>
      </c>
      <c r="K28" s="850">
        <v>41262</v>
      </c>
      <c r="L28" s="671" t="s">
        <v>824</v>
      </c>
      <c r="M28" s="671">
        <v>4</v>
      </c>
      <c r="N28" s="671">
        <v>18</v>
      </c>
      <c r="O28" s="671">
        <v>25.714285714285715</v>
      </c>
      <c r="P28" s="671">
        <v>51.428571428571431</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304</v>
      </c>
      <c r="N57" s="629">
        <f>SUM(N27:N56)</f>
        <v>1368</v>
      </c>
      <c r="O57" s="629">
        <f t="shared" ref="O57:W57" si="2">SUM(O27:O56)</f>
        <v>1954.2857142857144</v>
      </c>
      <c r="P57" s="629">
        <f t="shared" si="2"/>
        <v>3908.5714285714289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300</v>
      </c>
      <c r="N59" s="629">
        <f ca="1">SUMIF($Z$27:AB56,"tertiair",N27:N56)</f>
        <v>1350</v>
      </c>
      <c r="O59" s="629">
        <f ca="1">SUMIF($Z$27:AC56,"tertiair",O27:O56)</f>
        <v>1928.5714285714287</v>
      </c>
      <c r="P59" s="629">
        <f ca="1">SUMIF($Z$27:AD56,"tertiair",P27:P56)</f>
        <v>3857.1428571428573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v>
      </c>
      <c r="N60" s="634">
        <f t="shared" ref="N60:W60" si="4">SUMIF($Z$27:$Z$56,"landbouw",N27:N56)</f>
        <v>18</v>
      </c>
      <c r="O60" s="634">
        <f t="shared" si="4"/>
        <v>25.714285714285715</v>
      </c>
      <c r="P60" s="634">
        <f t="shared" si="4"/>
        <v>51.428571428571431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1609.4117647058822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2299.1596638655465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92002.944401899993</v>
      </c>
      <c r="D10" s="718">
        <f ca="1">tertiair!C16</f>
        <v>1928.5714285714287</v>
      </c>
      <c r="E10" s="718">
        <f ca="1">tertiair!D16</f>
        <v>104265.96404660093</v>
      </c>
      <c r="F10" s="718">
        <f>tertiair!E16</f>
        <v>1742.8729025463247</v>
      </c>
      <c r="G10" s="718">
        <f ca="1">tertiair!F16</f>
        <v>23795.259120501112</v>
      </c>
      <c r="H10" s="718">
        <f>tertiair!G16</f>
        <v>0</v>
      </c>
      <c r="I10" s="718">
        <f>tertiair!H16</f>
        <v>0</v>
      </c>
      <c r="J10" s="718">
        <f>tertiair!I16</f>
        <v>0</v>
      </c>
      <c r="K10" s="718">
        <f>tertiair!J16</f>
        <v>0</v>
      </c>
      <c r="L10" s="718">
        <f>tertiair!K16</f>
        <v>0</v>
      </c>
      <c r="M10" s="718">
        <f ca="1">tertiair!L16</f>
        <v>0</v>
      </c>
      <c r="N10" s="718">
        <f>tertiair!M16</f>
        <v>0</v>
      </c>
      <c r="O10" s="718">
        <f ca="1">tertiair!N16</f>
        <v>4108.8008575274725</v>
      </c>
      <c r="P10" s="718">
        <f>tertiair!O16</f>
        <v>0</v>
      </c>
      <c r="Q10" s="719">
        <f>tertiair!P16</f>
        <v>76.266666666666666</v>
      </c>
      <c r="R10" s="721">
        <f ca="1">SUM(C10:Q10)</f>
        <v>227920.67942431392</v>
      </c>
      <c r="S10" s="67"/>
    </row>
    <row r="11" spans="1:19" s="474" customFormat="1">
      <c r="A11" s="870" t="s">
        <v>225</v>
      </c>
      <c r="B11" s="875"/>
      <c r="C11" s="718">
        <f>huishoudens!B8</f>
        <v>54374.617532472337</v>
      </c>
      <c r="D11" s="718">
        <f>huishoudens!C8</f>
        <v>0</v>
      </c>
      <c r="E11" s="718">
        <f>huishoudens!D8</f>
        <v>174987.61911759511</v>
      </c>
      <c r="F11" s="718">
        <f>huishoudens!E8</f>
        <v>2260.9566830122353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8613.8935665676945</v>
      </c>
      <c r="P11" s="718">
        <f>huishoudens!O8</f>
        <v>136.01000000000002</v>
      </c>
      <c r="Q11" s="719">
        <f>huishoudens!P8</f>
        <v>190.66666666666669</v>
      </c>
      <c r="R11" s="721">
        <f>SUM(C11:Q11)</f>
        <v>240563.76356631404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43991.976805325292</v>
      </c>
      <c r="D13" s="718">
        <f>industrie!C18</f>
        <v>0</v>
      </c>
      <c r="E13" s="718">
        <f>industrie!D18</f>
        <v>12612.953729503161</v>
      </c>
      <c r="F13" s="718">
        <f>industrie!E18</f>
        <v>3028.2723136609156</v>
      </c>
      <c r="G13" s="718">
        <f>industrie!F18</f>
        <v>11645.214224324747</v>
      </c>
      <c r="H13" s="718">
        <f>industrie!G18</f>
        <v>0</v>
      </c>
      <c r="I13" s="718">
        <f>industrie!H18</f>
        <v>0</v>
      </c>
      <c r="J13" s="718">
        <f>industrie!I18</f>
        <v>0</v>
      </c>
      <c r="K13" s="718">
        <f>industrie!J18</f>
        <v>275.59535881273376</v>
      </c>
      <c r="L13" s="718">
        <f>industrie!K18</f>
        <v>0</v>
      </c>
      <c r="M13" s="718">
        <f>industrie!L18</f>
        <v>0</v>
      </c>
      <c r="N13" s="718">
        <f>industrie!M18</f>
        <v>0</v>
      </c>
      <c r="O13" s="718">
        <f>industrie!N18</f>
        <v>8604.9977540203417</v>
      </c>
      <c r="P13" s="718">
        <f>industrie!O18</f>
        <v>0</v>
      </c>
      <c r="Q13" s="719">
        <f>industrie!P18</f>
        <v>0</v>
      </c>
      <c r="R13" s="721">
        <f>SUM(C13:Q13)</f>
        <v>80159.010185647188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190369.5387396976</v>
      </c>
      <c r="D15" s="723">
        <f t="shared" ref="D15:Q15" ca="1" si="0">SUM(D9:D14)</f>
        <v>1928.5714285714287</v>
      </c>
      <c r="E15" s="723">
        <f t="shared" ca="1" si="0"/>
        <v>291866.5368936992</v>
      </c>
      <c r="F15" s="723">
        <f t="shared" si="0"/>
        <v>7032.1018992194759</v>
      </c>
      <c r="G15" s="723">
        <f t="shared" ca="1" si="0"/>
        <v>35440.473344825863</v>
      </c>
      <c r="H15" s="723">
        <f t="shared" si="0"/>
        <v>0</v>
      </c>
      <c r="I15" s="723">
        <f t="shared" si="0"/>
        <v>0</v>
      </c>
      <c r="J15" s="723">
        <f t="shared" si="0"/>
        <v>0</v>
      </c>
      <c r="K15" s="723">
        <f t="shared" si="0"/>
        <v>275.59535881273376</v>
      </c>
      <c r="L15" s="723">
        <f t="shared" si="0"/>
        <v>0</v>
      </c>
      <c r="M15" s="723">
        <f t="shared" ca="1" si="0"/>
        <v>0</v>
      </c>
      <c r="N15" s="723">
        <f t="shared" si="0"/>
        <v>0</v>
      </c>
      <c r="O15" s="723">
        <f t="shared" ca="1" si="0"/>
        <v>21327.692178115511</v>
      </c>
      <c r="P15" s="723">
        <f t="shared" si="0"/>
        <v>136.01000000000002</v>
      </c>
      <c r="Q15" s="724">
        <f t="shared" si="0"/>
        <v>266.93333333333334</v>
      </c>
      <c r="R15" s="725">
        <f ca="1">SUM(R9:R14)</f>
        <v>548643.45317627513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4594.4393159570109</v>
      </c>
      <c r="I18" s="718">
        <f>transport!H54</f>
        <v>0</v>
      </c>
      <c r="J18" s="718">
        <f>transport!I54</f>
        <v>0</v>
      </c>
      <c r="K18" s="718">
        <f>transport!J54</f>
        <v>0</v>
      </c>
      <c r="L18" s="718">
        <f>transport!K54</f>
        <v>0</v>
      </c>
      <c r="M18" s="718">
        <f>transport!L54</f>
        <v>0</v>
      </c>
      <c r="N18" s="718">
        <f>transport!M54</f>
        <v>142.50922898364382</v>
      </c>
      <c r="O18" s="718">
        <f>transport!N54</f>
        <v>0</v>
      </c>
      <c r="P18" s="718">
        <f>transport!O54</f>
        <v>0</v>
      </c>
      <c r="Q18" s="719">
        <f>transport!P54</f>
        <v>0</v>
      </c>
      <c r="R18" s="721">
        <f>SUM(C18:Q18)</f>
        <v>4736.9485449406548</v>
      </c>
      <c r="S18" s="67"/>
    </row>
    <row r="19" spans="1:19" s="474" customFormat="1" ht="15" thickBot="1">
      <c r="A19" s="870" t="s">
        <v>307</v>
      </c>
      <c r="B19" s="875"/>
      <c r="C19" s="727">
        <f>transport!B14</f>
        <v>97.39252389455649</v>
      </c>
      <c r="D19" s="727">
        <f>transport!C14</f>
        <v>0</v>
      </c>
      <c r="E19" s="727">
        <f>transport!D14</f>
        <v>210.75283496551478</v>
      </c>
      <c r="F19" s="727">
        <f>transport!E14</f>
        <v>954.81770139348396</v>
      </c>
      <c r="G19" s="727">
        <f>transport!F14</f>
        <v>0</v>
      </c>
      <c r="H19" s="727">
        <f>transport!G14</f>
        <v>314242.13462569471</v>
      </c>
      <c r="I19" s="727">
        <f>transport!H14</f>
        <v>58440.386750088903</v>
      </c>
      <c r="J19" s="727">
        <f>transport!I14</f>
        <v>0</v>
      </c>
      <c r="K19" s="727">
        <f>transport!J14</f>
        <v>0</v>
      </c>
      <c r="L19" s="727">
        <f>transport!K14</f>
        <v>0</v>
      </c>
      <c r="M19" s="727">
        <f>transport!L14</f>
        <v>0</v>
      </c>
      <c r="N19" s="727">
        <f>transport!M14</f>
        <v>11651.059837796842</v>
      </c>
      <c r="O19" s="727">
        <f>transport!N14</f>
        <v>0</v>
      </c>
      <c r="P19" s="727">
        <f>transport!O14</f>
        <v>0</v>
      </c>
      <c r="Q19" s="728">
        <f>transport!P14</f>
        <v>0</v>
      </c>
      <c r="R19" s="729">
        <f>SUM(C19:Q19)</f>
        <v>385596.54427383398</v>
      </c>
      <c r="S19" s="67"/>
    </row>
    <row r="20" spans="1:19" s="474" customFormat="1" ht="15.75" thickBot="1">
      <c r="A20" s="730" t="s">
        <v>230</v>
      </c>
      <c r="B20" s="878"/>
      <c r="C20" s="873">
        <f>SUM(C17:C19)</f>
        <v>97.39252389455649</v>
      </c>
      <c r="D20" s="731">
        <f t="shared" ref="D20:R20" si="1">SUM(D17:D19)</f>
        <v>0</v>
      </c>
      <c r="E20" s="731">
        <f t="shared" si="1"/>
        <v>210.75283496551478</v>
      </c>
      <c r="F20" s="731">
        <f t="shared" si="1"/>
        <v>954.81770139348396</v>
      </c>
      <c r="G20" s="731">
        <f t="shared" si="1"/>
        <v>0</v>
      </c>
      <c r="H20" s="731">
        <f t="shared" si="1"/>
        <v>318836.57394165173</v>
      </c>
      <c r="I20" s="731">
        <f t="shared" si="1"/>
        <v>58440.386750088903</v>
      </c>
      <c r="J20" s="731">
        <f t="shared" si="1"/>
        <v>0</v>
      </c>
      <c r="K20" s="731">
        <f t="shared" si="1"/>
        <v>0</v>
      </c>
      <c r="L20" s="731">
        <f t="shared" si="1"/>
        <v>0</v>
      </c>
      <c r="M20" s="731">
        <f t="shared" si="1"/>
        <v>0</v>
      </c>
      <c r="N20" s="731">
        <f t="shared" si="1"/>
        <v>11793.569066780485</v>
      </c>
      <c r="O20" s="731">
        <f t="shared" si="1"/>
        <v>0</v>
      </c>
      <c r="P20" s="731">
        <f t="shared" si="1"/>
        <v>0</v>
      </c>
      <c r="Q20" s="732">
        <f t="shared" si="1"/>
        <v>0</v>
      </c>
      <c r="R20" s="733">
        <f t="shared" si="1"/>
        <v>390333.49281877466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52.871509734999997</v>
      </c>
      <c r="D22" s="727">
        <f>+landbouw!C8</f>
        <v>25.714285714285715</v>
      </c>
      <c r="E22" s="727">
        <f>+landbouw!D8</f>
        <v>11870.758151373391</v>
      </c>
      <c r="F22" s="727">
        <f>+landbouw!E8</f>
        <v>1.3633532329384246</v>
      </c>
      <c r="G22" s="727">
        <f>+landbouw!F8</f>
        <v>193.25543697133614</v>
      </c>
      <c r="H22" s="727">
        <f>+landbouw!G8</f>
        <v>0</v>
      </c>
      <c r="I22" s="727">
        <f>+landbouw!H8</f>
        <v>0</v>
      </c>
      <c r="J22" s="727">
        <f>+landbouw!I8</f>
        <v>0</v>
      </c>
      <c r="K22" s="727">
        <f>+landbouw!J8</f>
        <v>7.6115524357423885</v>
      </c>
      <c r="L22" s="727">
        <f>+landbouw!K8</f>
        <v>0</v>
      </c>
      <c r="M22" s="727">
        <f>+landbouw!L8</f>
        <v>0</v>
      </c>
      <c r="N22" s="727">
        <f>+landbouw!M8</f>
        <v>0</v>
      </c>
      <c r="O22" s="727">
        <f>+landbouw!N8</f>
        <v>0</v>
      </c>
      <c r="P22" s="727">
        <f>+landbouw!O8</f>
        <v>0</v>
      </c>
      <c r="Q22" s="728">
        <f>+landbouw!P8</f>
        <v>0</v>
      </c>
      <c r="R22" s="729">
        <f>SUM(C22:Q22)</f>
        <v>12151.574289462695</v>
      </c>
      <c r="S22" s="67"/>
    </row>
    <row r="23" spans="1:19" s="474" customFormat="1" ht="17.25" thickTop="1" thickBot="1">
      <c r="A23" s="734" t="s">
        <v>116</v>
      </c>
      <c r="B23" s="864"/>
      <c r="C23" s="735">
        <f ca="1">C20+C15+C22</f>
        <v>190519.80277332716</v>
      </c>
      <c r="D23" s="735">
        <f t="shared" ref="D23:Q23" ca="1" si="2">D20+D15+D22</f>
        <v>1954.2857142857144</v>
      </c>
      <c r="E23" s="735">
        <f t="shared" ca="1" si="2"/>
        <v>303948.04788003815</v>
      </c>
      <c r="F23" s="735">
        <f t="shared" si="2"/>
        <v>7988.2829538458982</v>
      </c>
      <c r="G23" s="735">
        <f t="shared" ca="1" si="2"/>
        <v>35633.728781797196</v>
      </c>
      <c r="H23" s="735">
        <f t="shared" si="2"/>
        <v>318836.57394165173</v>
      </c>
      <c r="I23" s="735">
        <f t="shared" si="2"/>
        <v>58440.386750088903</v>
      </c>
      <c r="J23" s="735">
        <f t="shared" si="2"/>
        <v>0</v>
      </c>
      <c r="K23" s="735">
        <f t="shared" si="2"/>
        <v>283.20691124847616</v>
      </c>
      <c r="L23" s="735">
        <f t="shared" si="2"/>
        <v>0</v>
      </c>
      <c r="M23" s="735">
        <f t="shared" ca="1" si="2"/>
        <v>0</v>
      </c>
      <c r="N23" s="735">
        <f t="shared" si="2"/>
        <v>11793.569066780485</v>
      </c>
      <c r="O23" s="735">
        <f t="shared" ca="1" si="2"/>
        <v>21327.692178115511</v>
      </c>
      <c r="P23" s="735">
        <f t="shared" si="2"/>
        <v>136.01000000000002</v>
      </c>
      <c r="Q23" s="736">
        <f t="shared" si="2"/>
        <v>266.93333333333334</v>
      </c>
      <c r="R23" s="737">
        <f ca="1">R20+R15+R22</f>
        <v>951128.52028451243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19748.709983245892</v>
      </c>
      <c r="D36" s="718">
        <f ca="1">tertiair!C20</f>
        <v>458.31932773109253</v>
      </c>
      <c r="E36" s="718">
        <f ca="1">tertiair!D20</f>
        <v>21061.724737413388</v>
      </c>
      <c r="F36" s="718">
        <f>tertiair!E20</f>
        <v>395.6321488780157</v>
      </c>
      <c r="G36" s="718">
        <f ca="1">tertiair!F20</f>
        <v>6353.3341851737969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48017.720382442189</v>
      </c>
    </row>
    <row r="37" spans="1:18">
      <c r="A37" s="885" t="s">
        <v>225</v>
      </c>
      <c r="B37" s="892"/>
      <c r="C37" s="718">
        <f ca="1">huishoudens!B12</f>
        <v>11671.67593471647</v>
      </c>
      <c r="D37" s="718">
        <f ca="1">huishoudens!C12</f>
        <v>0</v>
      </c>
      <c r="E37" s="718">
        <f>huishoudens!D12</f>
        <v>35347.499061754213</v>
      </c>
      <c r="F37" s="718">
        <f>huishoudens!E12</f>
        <v>513.23716704377739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47532.412163514462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9443.0107336880792</v>
      </c>
      <c r="D39" s="718">
        <f ca="1">industrie!C22</f>
        <v>0</v>
      </c>
      <c r="E39" s="718">
        <f>industrie!D22</f>
        <v>2547.8166533596386</v>
      </c>
      <c r="F39" s="718">
        <f>industrie!E22</f>
        <v>687.41781520102791</v>
      </c>
      <c r="G39" s="718">
        <f>industrie!F22</f>
        <v>3109.2721978947075</v>
      </c>
      <c r="H39" s="718">
        <f>industrie!G22</f>
        <v>0</v>
      </c>
      <c r="I39" s="718">
        <f>industrie!H22</f>
        <v>0</v>
      </c>
      <c r="J39" s="718">
        <f>industrie!I22</f>
        <v>0</v>
      </c>
      <c r="K39" s="718">
        <f>industrie!J22</f>
        <v>97.560757019707751</v>
      </c>
      <c r="L39" s="718">
        <f>industrie!K22</f>
        <v>0</v>
      </c>
      <c r="M39" s="718">
        <f>industrie!L22</f>
        <v>0</v>
      </c>
      <c r="N39" s="718">
        <f>industrie!M22</f>
        <v>0</v>
      </c>
      <c r="O39" s="718">
        <f>industrie!N22</f>
        <v>0</v>
      </c>
      <c r="P39" s="718">
        <f>industrie!O22</f>
        <v>0</v>
      </c>
      <c r="Q39" s="828">
        <f>industrie!P22</f>
        <v>0</v>
      </c>
      <c r="R39" s="918">
        <f ca="1">SUM(C39:Q39)</f>
        <v>15885.078157163161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40863.396651650444</v>
      </c>
      <c r="D41" s="763">
        <f t="shared" ref="D41:R41" ca="1" si="4">SUM(D35:D40)</f>
        <v>458.31932773109253</v>
      </c>
      <c r="E41" s="763">
        <f t="shared" ca="1" si="4"/>
        <v>58957.040452527239</v>
      </c>
      <c r="F41" s="763">
        <f t="shared" si="4"/>
        <v>1596.2871311228209</v>
      </c>
      <c r="G41" s="763">
        <f t="shared" ca="1" si="4"/>
        <v>9462.6063830685052</v>
      </c>
      <c r="H41" s="763">
        <f t="shared" si="4"/>
        <v>0</v>
      </c>
      <c r="I41" s="763">
        <f t="shared" si="4"/>
        <v>0</v>
      </c>
      <c r="J41" s="763">
        <f t="shared" si="4"/>
        <v>0</v>
      </c>
      <c r="K41" s="763">
        <f t="shared" si="4"/>
        <v>97.560757019707751</v>
      </c>
      <c r="L41" s="763">
        <f t="shared" si="4"/>
        <v>0</v>
      </c>
      <c r="M41" s="763">
        <f t="shared" ca="1" si="4"/>
        <v>0</v>
      </c>
      <c r="N41" s="763">
        <f t="shared" si="4"/>
        <v>0</v>
      </c>
      <c r="O41" s="763">
        <f t="shared" ca="1" si="4"/>
        <v>0</v>
      </c>
      <c r="P41" s="763">
        <f t="shared" si="4"/>
        <v>0</v>
      </c>
      <c r="Q41" s="764">
        <f t="shared" si="4"/>
        <v>0</v>
      </c>
      <c r="R41" s="765">
        <f t="shared" ca="1" si="4"/>
        <v>111435.21070311981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1226.7152973605221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1226.7152973605221</v>
      </c>
    </row>
    <row r="45" spans="1:18" ht="15" thickBot="1">
      <c r="A45" s="888" t="s">
        <v>307</v>
      </c>
      <c r="B45" s="898"/>
      <c r="C45" s="727">
        <f ca="1">transport!B18</f>
        <v>20.905599504815644</v>
      </c>
      <c r="D45" s="727">
        <f>transport!C18</f>
        <v>0</v>
      </c>
      <c r="E45" s="727">
        <f>transport!D18</f>
        <v>42.572072663033985</v>
      </c>
      <c r="F45" s="727">
        <f>transport!E18</f>
        <v>216.74361821632087</v>
      </c>
      <c r="G45" s="727">
        <f>transport!F18</f>
        <v>0</v>
      </c>
      <c r="H45" s="727">
        <f>transport!G18</f>
        <v>83902.64994506049</v>
      </c>
      <c r="I45" s="727">
        <f>transport!H18</f>
        <v>14551.656300772136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98734.527536216803</v>
      </c>
    </row>
    <row r="46" spans="1:18" ht="15.75" thickBot="1">
      <c r="A46" s="886" t="s">
        <v>230</v>
      </c>
      <c r="B46" s="899"/>
      <c r="C46" s="763">
        <f t="shared" ref="C46:R46" ca="1" si="5">SUM(C43:C45)</f>
        <v>20.905599504815644</v>
      </c>
      <c r="D46" s="763">
        <f t="shared" ca="1" si="5"/>
        <v>0</v>
      </c>
      <c r="E46" s="763">
        <f t="shared" si="5"/>
        <v>42.572072663033985</v>
      </c>
      <c r="F46" s="763">
        <f t="shared" si="5"/>
        <v>216.74361821632087</v>
      </c>
      <c r="G46" s="763">
        <f t="shared" si="5"/>
        <v>0</v>
      </c>
      <c r="H46" s="763">
        <f t="shared" si="5"/>
        <v>85129.365242421016</v>
      </c>
      <c r="I46" s="763">
        <f t="shared" si="5"/>
        <v>14551.656300772136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99961.242833577329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11.349029304667706</v>
      </c>
      <c r="D48" s="718">
        <f ca="1">+landbouw!C12</f>
        <v>6.1109243697478997</v>
      </c>
      <c r="E48" s="718">
        <f>+landbouw!D12</f>
        <v>2397.8931465774253</v>
      </c>
      <c r="F48" s="718">
        <f>+landbouw!E12</f>
        <v>0.30948118387702239</v>
      </c>
      <c r="G48" s="718">
        <f>+landbouw!F12</f>
        <v>51.599201671346755</v>
      </c>
      <c r="H48" s="718">
        <f>+landbouw!G12</f>
        <v>0</v>
      </c>
      <c r="I48" s="718">
        <f>+landbouw!H12</f>
        <v>0</v>
      </c>
      <c r="J48" s="718">
        <f>+landbouw!I12</f>
        <v>0</v>
      </c>
      <c r="K48" s="718">
        <f>+landbouw!J12</f>
        <v>2.6944895622528056</v>
      </c>
      <c r="L48" s="718">
        <f>+landbouw!K12</f>
        <v>0</v>
      </c>
      <c r="M48" s="718">
        <f>+landbouw!L12</f>
        <v>0</v>
      </c>
      <c r="N48" s="718">
        <f>+landbouw!M12</f>
        <v>0</v>
      </c>
      <c r="O48" s="718">
        <f>+landbouw!N12</f>
        <v>0</v>
      </c>
      <c r="P48" s="718">
        <f>+landbouw!O12</f>
        <v>0</v>
      </c>
      <c r="Q48" s="719">
        <f>+landbouw!P12</f>
        <v>0</v>
      </c>
      <c r="R48" s="761">
        <f ca="1">SUM(C48:Q48)</f>
        <v>2469.9562726693175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40895.651280459933</v>
      </c>
      <c r="D53" s="773">
        <f t="shared" ref="D53:Q53" ca="1" si="6">D41+D46+D48</f>
        <v>464.43025210084045</v>
      </c>
      <c r="E53" s="773">
        <f t="shared" ca="1" si="6"/>
        <v>61397.505671767693</v>
      </c>
      <c r="F53" s="773">
        <f t="shared" si="6"/>
        <v>1813.3402305230188</v>
      </c>
      <c r="G53" s="773">
        <f t="shared" ca="1" si="6"/>
        <v>9514.2055847398515</v>
      </c>
      <c r="H53" s="773">
        <f t="shared" si="6"/>
        <v>85129.365242421016</v>
      </c>
      <c r="I53" s="773">
        <f t="shared" si="6"/>
        <v>14551.656300772136</v>
      </c>
      <c r="J53" s="773">
        <f t="shared" si="6"/>
        <v>0</v>
      </c>
      <c r="K53" s="773">
        <f t="shared" si="6"/>
        <v>100.25524658196056</v>
      </c>
      <c r="L53" s="773">
        <f t="shared" si="6"/>
        <v>0</v>
      </c>
      <c r="M53" s="773">
        <f t="shared" ca="1" si="6"/>
        <v>0</v>
      </c>
      <c r="N53" s="773">
        <f t="shared" si="6"/>
        <v>0</v>
      </c>
      <c r="O53" s="773">
        <f t="shared" ca="1" si="6"/>
        <v>0</v>
      </c>
      <c r="P53" s="773">
        <f>P41+P46+P48</f>
        <v>0</v>
      </c>
      <c r="Q53" s="774">
        <f t="shared" si="6"/>
        <v>0</v>
      </c>
      <c r="R53" s="775">
        <f ca="1">R41+R46+R48</f>
        <v>213866.40980936645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0.21465302128784977</v>
      </c>
      <c r="D55" s="836">
        <f t="shared" ca="1" si="7"/>
        <v>0.23764705882352946</v>
      </c>
      <c r="E55" s="836">
        <f t="shared" ca="1" si="7"/>
        <v>0.20199999999999996</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5574.6529815202475</v>
      </c>
      <c r="C66" s="795">
        <f>'lokale energieproductie'!B6</f>
        <v>5574.6529815202475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1368</v>
      </c>
      <c r="C67" s="794">
        <f>B67*IFERROR(SUM(J67:L67)/SUM(D67:M67),0)</f>
        <v>0</v>
      </c>
      <c r="D67" s="826">
        <f>'lokale energieproductie'!C7</f>
        <v>1609.4117647058822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325.1011764705882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6942.6529815202475</v>
      </c>
      <c r="C69" s="803">
        <f>SUM(C64:C68)</f>
        <v>5574.6529815202475</v>
      </c>
      <c r="D69" s="804">
        <f t="shared" ref="D69:M69" si="8">SUM(D67:D68)</f>
        <v>1609.4117647058822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325.1011764705882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1954.2857142857144</v>
      </c>
      <c r="C78" s="817">
        <f>B78*IFERROR(SUM(I78:L78)/SUM(D78:M78),0)</f>
        <v>0</v>
      </c>
      <c r="D78" s="832">
        <f>'lokale energieproductie'!C16</f>
        <v>2299.1596638655465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464.43025210084039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1954.2857142857144</v>
      </c>
      <c r="C81" s="803">
        <f>SUM(C78:C80)</f>
        <v>0</v>
      </c>
      <c r="D81" s="803">
        <f t="shared" ref="D81:P81" si="9">SUM(D78:D80)</f>
        <v>2299.1596638655465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464.43025210084039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54374.617532472337</v>
      </c>
      <c r="C4" s="478">
        <f>huishoudens!C8</f>
        <v>0</v>
      </c>
      <c r="D4" s="478">
        <f>huishoudens!D8</f>
        <v>174987.61911759511</v>
      </c>
      <c r="E4" s="478">
        <f>huishoudens!E8</f>
        <v>2260.9566830122353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8613.8935665676945</v>
      </c>
      <c r="O4" s="478">
        <f>huishoudens!O8</f>
        <v>136.01000000000002</v>
      </c>
      <c r="P4" s="479">
        <f>huishoudens!P8</f>
        <v>190.66666666666669</v>
      </c>
      <c r="Q4" s="480">
        <f>SUM(B4:P4)</f>
        <v>240563.76356631404</v>
      </c>
    </row>
    <row r="5" spans="1:17">
      <c r="A5" s="477" t="s">
        <v>156</v>
      </c>
      <c r="B5" s="478">
        <f ca="1">tertiair!B16</f>
        <v>89413.683728599994</v>
      </c>
      <c r="C5" s="478">
        <f ca="1">tertiair!C16</f>
        <v>1928.5714285714287</v>
      </c>
      <c r="D5" s="478">
        <f ca="1">tertiair!D16</f>
        <v>104265.96404660093</v>
      </c>
      <c r="E5" s="478">
        <f>tertiair!E16</f>
        <v>1742.8729025463247</v>
      </c>
      <c r="F5" s="478">
        <f ca="1">tertiair!F16</f>
        <v>23795.259120501112</v>
      </c>
      <c r="G5" s="478">
        <f>tertiair!G16</f>
        <v>0</v>
      </c>
      <c r="H5" s="478">
        <f>tertiair!H16</f>
        <v>0</v>
      </c>
      <c r="I5" s="478">
        <f>tertiair!I16</f>
        <v>0</v>
      </c>
      <c r="J5" s="478">
        <f>tertiair!J16</f>
        <v>0</v>
      </c>
      <c r="K5" s="478">
        <f>tertiair!K16</f>
        <v>0</v>
      </c>
      <c r="L5" s="478">
        <f ca="1">tertiair!L16</f>
        <v>0</v>
      </c>
      <c r="M5" s="478">
        <f>tertiair!M16</f>
        <v>0</v>
      </c>
      <c r="N5" s="478">
        <f ca="1">tertiair!N16</f>
        <v>4108.8008575274725</v>
      </c>
      <c r="O5" s="478">
        <f>tertiair!O16</f>
        <v>0</v>
      </c>
      <c r="P5" s="479">
        <f>tertiair!P16</f>
        <v>76.266666666666666</v>
      </c>
      <c r="Q5" s="477">
        <f t="shared" ref="Q5:Q13" ca="1" si="0">SUM(B5:P5)</f>
        <v>225331.41875101393</v>
      </c>
    </row>
    <row r="6" spans="1:17">
      <c r="A6" s="477" t="s">
        <v>194</v>
      </c>
      <c r="B6" s="478">
        <f>'openbare verlichting'!B8</f>
        <v>2589.2606732999998</v>
      </c>
      <c r="C6" s="478"/>
      <c r="D6" s="478"/>
      <c r="E6" s="478"/>
      <c r="F6" s="478"/>
      <c r="G6" s="478"/>
      <c r="H6" s="478"/>
      <c r="I6" s="478"/>
      <c r="J6" s="478"/>
      <c r="K6" s="478"/>
      <c r="L6" s="478"/>
      <c r="M6" s="478"/>
      <c r="N6" s="478"/>
      <c r="O6" s="478"/>
      <c r="P6" s="479"/>
      <c r="Q6" s="477">
        <f t="shared" si="0"/>
        <v>2589.2606732999998</v>
      </c>
    </row>
    <row r="7" spans="1:17">
      <c r="A7" s="477" t="s">
        <v>112</v>
      </c>
      <c r="B7" s="478">
        <f>landbouw!B8</f>
        <v>52.871509734999997</v>
      </c>
      <c r="C7" s="478">
        <f>landbouw!C8</f>
        <v>25.714285714285715</v>
      </c>
      <c r="D7" s="478">
        <f>landbouw!D8</f>
        <v>11870.758151373391</v>
      </c>
      <c r="E7" s="478">
        <f>landbouw!E8</f>
        <v>1.3633532329384246</v>
      </c>
      <c r="F7" s="478">
        <f>landbouw!F8</f>
        <v>193.25543697133614</v>
      </c>
      <c r="G7" s="478">
        <f>landbouw!G8</f>
        <v>0</v>
      </c>
      <c r="H7" s="478">
        <f>landbouw!H8</f>
        <v>0</v>
      </c>
      <c r="I7" s="478">
        <f>landbouw!I8</f>
        <v>0</v>
      </c>
      <c r="J7" s="478">
        <f>landbouw!J8</f>
        <v>7.6115524357423885</v>
      </c>
      <c r="K7" s="478">
        <f>landbouw!K8</f>
        <v>0</v>
      </c>
      <c r="L7" s="478">
        <f>landbouw!L8</f>
        <v>0</v>
      </c>
      <c r="M7" s="478">
        <f>landbouw!M8</f>
        <v>0</v>
      </c>
      <c r="N7" s="478">
        <f>landbouw!N8</f>
        <v>0</v>
      </c>
      <c r="O7" s="478">
        <f>landbouw!O8</f>
        <v>0</v>
      </c>
      <c r="P7" s="479">
        <f>landbouw!P8</f>
        <v>0</v>
      </c>
      <c r="Q7" s="477">
        <f t="shared" si="0"/>
        <v>12151.574289462695</v>
      </c>
    </row>
    <row r="8" spans="1:17">
      <c r="A8" s="477" t="s">
        <v>638</v>
      </c>
      <c r="B8" s="478">
        <f>industrie!B18</f>
        <v>43991.976805325292</v>
      </c>
      <c r="C8" s="478">
        <f>industrie!C18</f>
        <v>0</v>
      </c>
      <c r="D8" s="478">
        <f>industrie!D18</f>
        <v>12612.953729503161</v>
      </c>
      <c r="E8" s="478">
        <f>industrie!E18</f>
        <v>3028.2723136609156</v>
      </c>
      <c r="F8" s="478">
        <f>industrie!F18</f>
        <v>11645.214224324747</v>
      </c>
      <c r="G8" s="478">
        <f>industrie!G18</f>
        <v>0</v>
      </c>
      <c r="H8" s="478">
        <f>industrie!H18</f>
        <v>0</v>
      </c>
      <c r="I8" s="478">
        <f>industrie!I18</f>
        <v>0</v>
      </c>
      <c r="J8" s="478">
        <f>industrie!J18</f>
        <v>275.59535881273376</v>
      </c>
      <c r="K8" s="478">
        <f>industrie!K18</f>
        <v>0</v>
      </c>
      <c r="L8" s="478">
        <f>industrie!L18</f>
        <v>0</v>
      </c>
      <c r="M8" s="478">
        <f>industrie!M18</f>
        <v>0</v>
      </c>
      <c r="N8" s="478">
        <f>industrie!N18</f>
        <v>8604.9977540203417</v>
      </c>
      <c r="O8" s="478">
        <f>industrie!O18</f>
        <v>0</v>
      </c>
      <c r="P8" s="479">
        <f>industrie!P18</f>
        <v>0</v>
      </c>
      <c r="Q8" s="477">
        <f t="shared" si="0"/>
        <v>80159.010185647188</v>
      </c>
    </row>
    <row r="9" spans="1:17" s="483" customFormat="1">
      <c r="A9" s="481" t="s">
        <v>564</v>
      </c>
      <c r="B9" s="482">
        <f>transport!B14</f>
        <v>97.39252389455649</v>
      </c>
      <c r="C9" s="482">
        <f>transport!C14</f>
        <v>0</v>
      </c>
      <c r="D9" s="482">
        <f>transport!D14</f>
        <v>210.75283496551478</v>
      </c>
      <c r="E9" s="482">
        <f>transport!E14</f>
        <v>954.81770139348396</v>
      </c>
      <c r="F9" s="482">
        <f>transport!F14</f>
        <v>0</v>
      </c>
      <c r="G9" s="482">
        <f>transport!G14</f>
        <v>314242.13462569471</v>
      </c>
      <c r="H9" s="482">
        <f>transport!H14</f>
        <v>58440.386750088903</v>
      </c>
      <c r="I9" s="482">
        <f>transport!I14</f>
        <v>0</v>
      </c>
      <c r="J9" s="482">
        <f>transport!J14</f>
        <v>0</v>
      </c>
      <c r="K9" s="482">
        <f>transport!K14</f>
        <v>0</v>
      </c>
      <c r="L9" s="482">
        <f>transport!L14</f>
        <v>0</v>
      </c>
      <c r="M9" s="482">
        <f>transport!M14</f>
        <v>11651.059837796842</v>
      </c>
      <c r="N9" s="482">
        <f>transport!N14</f>
        <v>0</v>
      </c>
      <c r="O9" s="482">
        <f>transport!O14</f>
        <v>0</v>
      </c>
      <c r="P9" s="482">
        <f>transport!P14</f>
        <v>0</v>
      </c>
      <c r="Q9" s="481">
        <f>SUM(B9:P9)</f>
        <v>385596.54427383398</v>
      </c>
    </row>
    <row r="10" spans="1:17">
      <c r="A10" s="477" t="s">
        <v>554</v>
      </c>
      <c r="B10" s="478">
        <f>transport!B54</f>
        <v>0</v>
      </c>
      <c r="C10" s="478">
        <f>transport!C54</f>
        <v>0</v>
      </c>
      <c r="D10" s="478">
        <f>transport!D54</f>
        <v>0</v>
      </c>
      <c r="E10" s="478">
        <f>transport!E54</f>
        <v>0</v>
      </c>
      <c r="F10" s="478">
        <f>transport!F54</f>
        <v>0</v>
      </c>
      <c r="G10" s="478">
        <f>transport!G54</f>
        <v>4594.4393159570109</v>
      </c>
      <c r="H10" s="478">
        <f>transport!H54</f>
        <v>0</v>
      </c>
      <c r="I10" s="478">
        <f>transport!I54</f>
        <v>0</v>
      </c>
      <c r="J10" s="478">
        <f>transport!J54</f>
        <v>0</v>
      </c>
      <c r="K10" s="478">
        <f>transport!K54</f>
        <v>0</v>
      </c>
      <c r="L10" s="478">
        <f>transport!L54</f>
        <v>0</v>
      </c>
      <c r="M10" s="478">
        <f>transport!M54</f>
        <v>142.50922898364382</v>
      </c>
      <c r="N10" s="478">
        <f>transport!N54</f>
        <v>0</v>
      </c>
      <c r="O10" s="478">
        <f>transport!O54</f>
        <v>0</v>
      </c>
      <c r="P10" s="479">
        <f>transport!P54</f>
        <v>0</v>
      </c>
      <c r="Q10" s="477">
        <f t="shared" si="0"/>
        <v>4736.9485449406548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190519.80277332722</v>
      </c>
      <c r="C14" s="488">
        <f t="shared" ref="C14:Q14" ca="1" si="1">SUM(C4:C13)</f>
        <v>1954.2857142857144</v>
      </c>
      <c r="D14" s="488">
        <f t="shared" ca="1" si="1"/>
        <v>303948.04788003815</v>
      </c>
      <c r="E14" s="488">
        <f t="shared" si="1"/>
        <v>7988.2829538458982</v>
      </c>
      <c r="F14" s="488">
        <f t="shared" ca="1" si="1"/>
        <v>35633.728781797196</v>
      </c>
      <c r="G14" s="488">
        <f t="shared" si="1"/>
        <v>318836.57394165173</v>
      </c>
      <c r="H14" s="488">
        <f t="shared" si="1"/>
        <v>58440.386750088903</v>
      </c>
      <c r="I14" s="488">
        <f t="shared" si="1"/>
        <v>0</v>
      </c>
      <c r="J14" s="488">
        <f t="shared" si="1"/>
        <v>283.20691124847616</v>
      </c>
      <c r="K14" s="488">
        <f t="shared" si="1"/>
        <v>0</v>
      </c>
      <c r="L14" s="488">
        <f t="shared" ca="1" si="1"/>
        <v>0</v>
      </c>
      <c r="M14" s="488">
        <f t="shared" si="1"/>
        <v>11793.569066780485</v>
      </c>
      <c r="N14" s="488">
        <f t="shared" ca="1" si="1"/>
        <v>21327.692178115511</v>
      </c>
      <c r="O14" s="488">
        <f t="shared" si="1"/>
        <v>136.01000000000002</v>
      </c>
      <c r="P14" s="489">
        <f t="shared" si="1"/>
        <v>266.93333333333334</v>
      </c>
      <c r="Q14" s="489">
        <f t="shared" ca="1" si="1"/>
        <v>951128.52028451255</v>
      </c>
    </row>
    <row r="16" spans="1:17">
      <c r="A16" s="491" t="s">
        <v>559</v>
      </c>
      <c r="B16" s="841">
        <f ca="1">huishoudens!B10</f>
        <v>0.21465302128784969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11671.67593471647</v>
      </c>
      <c r="C21" s="478">
        <f t="shared" ref="C21:C30" ca="1" si="3">C4*$C$16</f>
        <v>0</v>
      </c>
      <c r="D21" s="478">
        <f t="shared" ref="D21:D30" si="4">D4*$D$16</f>
        <v>35347.499061754213</v>
      </c>
      <c r="E21" s="478">
        <f t="shared" ref="E21:E30" si="5">E4*$E$16</f>
        <v>513.23716704377739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47532.412163514462</v>
      </c>
    </row>
    <row r="22" spans="1:17">
      <c r="A22" s="477" t="s">
        <v>156</v>
      </c>
      <c r="B22" s="478">
        <f t="shared" ca="1" si="2"/>
        <v>19192.917356820235</v>
      </c>
      <c r="C22" s="478">
        <f t="shared" ca="1" si="3"/>
        <v>458.31932773109253</v>
      </c>
      <c r="D22" s="478">
        <f t="shared" ca="1" si="4"/>
        <v>21061.724737413388</v>
      </c>
      <c r="E22" s="478">
        <f t="shared" si="5"/>
        <v>395.6321488780157</v>
      </c>
      <c r="F22" s="478">
        <f t="shared" ca="1" si="6"/>
        <v>6353.3341851737969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47461.927756016536</v>
      </c>
    </row>
    <row r="23" spans="1:17">
      <c r="A23" s="477" t="s">
        <v>194</v>
      </c>
      <c r="B23" s="478">
        <f t="shared" ca="1" si="2"/>
        <v>555.79262642565686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555.79262642565686</v>
      </c>
    </row>
    <row r="24" spans="1:17">
      <c r="A24" s="477" t="s">
        <v>112</v>
      </c>
      <c r="B24" s="478">
        <f t="shared" ca="1" si="2"/>
        <v>11.349029304667706</v>
      </c>
      <c r="C24" s="478">
        <f t="shared" ca="1" si="3"/>
        <v>6.1109243697478997</v>
      </c>
      <c r="D24" s="478">
        <f t="shared" si="4"/>
        <v>2397.8931465774253</v>
      </c>
      <c r="E24" s="478">
        <f t="shared" si="5"/>
        <v>0.30948118387702239</v>
      </c>
      <c r="F24" s="478">
        <f t="shared" si="6"/>
        <v>51.599201671346755</v>
      </c>
      <c r="G24" s="478">
        <f t="shared" si="7"/>
        <v>0</v>
      </c>
      <c r="H24" s="478">
        <f t="shared" si="8"/>
        <v>0</v>
      </c>
      <c r="I24" s="478">
        <f t="shared" si="9"/>
        <v>0</v>
      </c>
      <c r="J24" s="478">
        <f t="shared" si="10"/>
        <v>2.6944895622528056</v>
      </c>
      <c r="K24" s="478">
        <f t="shared" si="11"/>
        <v>0</v>
      </c>
      <c r="L24" s="478">
        <f t="shared" si="12"/>
        <v>0</v>
      </c>
      <c r="M24" s="478">
        <f t="shared" si="13"/>
        <v>0</v>
      </c>
      <c r="N24" s="478">
        <f t="shared" si="14"/>
        <v>0</v>
      </c>
      <c r="O24" s="478">
        <f t="shared" si="15"/>
        <v>0</v>
      </c>
      <c r="P24" s="479">
        <f t="shared" si="16"/>
        <v>0</v>
      </c>
      <c r="Q24" s="477">
        <f t="shared" ca="1" si="17"/>
        <v>2469.9562726693175</v>
      </c>
    </row>
    <row r="25" spans="1:17">
      <c r="A25" s="477" t="s">
        <v>638</v>
      </c>
      <c r="B25" s="478">
        <f t="shared" ca="1" si="2"/>
        <v>9443.0107336880792</v>
      </c>
      <c r="C25" s="478">
        <f t="shared" ca="1" si="3"/>
        <v>0</v>
      </c>
      <c r="D25" s="478">
        <f t="shared" si="4"/>
        <v>2547.8166533596386</v>
      </c>
      <c r="E25" s="478">
        <f t="shared" si="5"/>
        <v>687.41781520102791</v>
      </c>
      <c r="F25" s="478">
        <f t="shared" si="6"/>
        <v>3109.2721978947075</v>
      </c>
      <c r="G25" s="478">
        <f t="shared" si="7"/>
        <v>0</v>
      </c>
      <c r="H25" s="478">
        <f t="shared" si="8"/>
        <v>0</v>
      </c>
      <c r="I25" s="478">
        <f t="shared" si="9"/>
        <v>0</v>
      </c>
      <c r="J25" s="478">
        <f t="shared" si="10"/>
        <v>97.560757019707751</v>
      </c>
      <c r="K25" s="478">
        <f t="shared" si="11"/>
        <v>0</v>
      </c>
      <c r="L25" s="478">
        <f t="shared" si="12"/>
        <v>0</v>
      </c>
      <c r="M25" s="478">
        <f t="shared" si="13"/>
        <v>0</v>
      </c>
      <c r="N25" s="478">
        <f t="shared" si="14"/>
        <v>0</v>
      </c>
      <c r="O25" s="478">
        <f t="shared" si="15"/>
        <v>0</v>
      </c>
      <c r="P25" s="479">
        <f t="shared" si="16"/>
        <v>0</v>
      </c>
      <c r="Q25" s="477">
        <f t="shared" ca="1" si="17"/>
        <v>15885.078157163161</v>
      </c>
    </row>
    <row r="26" spans="1:17" s="483" customFormat="1">
      <c r="A26" s="481" t="s">
        <v>564</v>
      </c>
      <c r="B26" s="835">
        <f t="shared" ca="1" si="2"/>
        <v>20.905599504815644</v>
      </c>
      <c r="C26" s="482">
        <f t="shared" ca="1" si="3"/>
        <v>0</v>
      </c>
      <c r="D26" s="482">
        <f t="shared" si="4"/>
        <v>42.572072663033985</v>
      </c>
      <c r="E26" s="482">
        <f t="shared" si="5"/>
        <v>216.74361821632087</v>
      </c>
      <c r="F26" s="482">
        <f t="shared" si="6"/>
        <v>0</v>
      </c>
      <c r="G26" s="482">
        <f t="shared" si="7"/>
        <v>83902.64994506049</v>
      </c>
      <c r="H26" s="482">
        <f t="shared" si="8"/>
        <v>14551.656300772136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98734.527536216803</v>
      </c>
    </row>
    <row r="27" spans="1:17">
      <c r="A27" s="477" t="s">
        <v>554</v>
      </c>
      <c r="B27" s="478">
        <f t="shared" ca="1" si="2"/>
        <v>0</v>
      </c>
      <c r="C27" s="478">
        <f t="shared" ca="1" si="3"/>
        <v>0</v>
      </c>
      <c r="D27" s="478">
        <f t="shared" si="4"/>
        <v>0</v>
      </c>
      <c r="E27" s="478">
        <f t="shared" si="5"/>
        <v>0</v>
      </c>
      <c r="F27" s="478">
        <f t="shared" si="6"/>
        <v>0</v>
      </c>
      <c r="G27" s="478">
        <f t="shared" si="7"/>
        <v>1226.7152973605221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1226.7152973605221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40895.651280459926</v>
      </c>
      <c r="C31" s="488">
        <f t="shared" ca="1" si="18"/>
        <v>464.43025210084045</v>
      </c>
      <c r="D31" s="488">
        <f t="shared" ca="1" si="18"/>
        <v>61397.505671767693</v>
      </c>
      <c r="E31" s="488">
        <f t="shared" si="18"/>
        <v>1813.3402305230186</v>
      </c>
      <c r="F31" s="488">
        <f t="shared" ca="1" si="18"/>
        <v>9514.2055847398515</v>
      </c>
      <c r="G31" s="488">
        <f t="shared" si="18"/>
        <v>85129.365242421016</v>
      </c>
      <c r="H31" s="488">
        <f t="shared" si="18"/>
        <v>14551.656300772136</v>
      </c>
      <c r="I31" s="488">
        <f t="shared" si="18"/>
        <v>0</v>
      </c>
      <c r="J31" s="488">
        <f t="shared" si="18"/>
        <v>100.25524658196056</v>
      </c>
      <c r="K31" s="488">
        <f t="shared" si="18"/>
        <v>0</v>
      </c>
      <c r="L31" s="488">
        <f t="shared" ca="1" si="18"/>
        <v>0</v>
      </c>
      <c r="M31" s="488">
        <f t="shared" si="18"/>
        <v>0</v>
      </c>
      <c r="N31" s="488">
        <f t="shared" ca="1" si="18"/>
        <v>0</v>
      </c>
      <c r="O31" s="488">
        <f t="shared" si="18"/>
        <v>0</v>
      </c>
      <c r="P31" s="489">
        <f t="shared" si="18"/>
        <v>0</v>
      </c>
      <c r="Q31" s="489">
        <f t="shared" ca="1" si="18"/>
        <v>213866.40980936645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0.21465302128784969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0.21465302128784969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0.21465302128784969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2018-06-27T09:41:41Z</dcterms:modified>
</cp:coreProperties>
</file>