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E7" i="48"/>
  <c r="E24" s="1"/>
  <c r="D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P55"/>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Q5" l="1"/>
  <c r="O13" i="14"/>
  <c r="O15" s="1"/>
  <c r="F13"/>
  <c r="F15" s="1"/>
  <c r="F23" s="1"/>
  <c r="F55" s="1"/>
  <c r="N22" i="16"/>
  <c r="O39" i="14" s="1"/>
  <c r="O41" s="1"/>
  <c r="O53" s="1"/>
  <c r="N25" i="48"/>
  <c r="N31" s="1"/>
  <c r="N14"/>
  <c r="E25"/>
  <c r="E31" s="1"/>
  <c r="E14"/>
  <c r="K13" i="14"/>
  <c r="K15" s="1"/>
  <c r="K23" s="1"/>
  <c r="K55" s="1"/>
  <c r="H55"/>
  <c r="E55"/>
  <c r="C78"/>
  <c r="C81" s="1"/>
  <c r="J14" i="48"/>
  <c r="J31"/>
  <c r="Q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<sst xmlns="http://schemas.openxmlformats.org/spreadsheetml/2006/main" count="1924" uniqueCount="818">
  <si>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</si>
  <si>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</si>
  <si>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</si>
  <si>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</si>
  <si>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</si>
  <si>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</si>
  <si>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</si>
  <si>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</si>
  <si>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</si>
  <si>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</si>
  <si>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</si>
  <si>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</si>
  <si>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</si>
  <si>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</si>
  <si>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</si>
  <si>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</si>
  <si>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</si>
  <si>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</si>
  <si>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</si>
  <si>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</si>
  <si>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</si>
  <si>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</si>
  <si>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</si>
  <si>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</si>
  <si>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</si>
  <si>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</si>
  <si>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</si>
  <si>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</si>
  <si>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</si>
  <si>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</si>
  <si>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</si>
  <si>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</si>
  <si>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</si>
  <si>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</si>
  <si>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</si>
  <si>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</si>
  <si>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</si>
  <si>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</si>
  <si>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</si>
  <si>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</si>
  <si>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</si>
  <si>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</si>
  <si>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</si>
  <si>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</si>
  <si>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</si>
  <si>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</si>
  <si>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</si>
  <si>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</si>
  <si>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</si>
  <si>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</si>
  <si>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</si>
  <si>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</si>
  <si>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</si>
  <si>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</si>
  <si>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</si>
  <si>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</si>
  <si>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</si>
  <si>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</si>
  <si>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</si>
  <si>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</si>
  <si>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</si>
  <si>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</si>
  <si>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</si>
  <si>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</si>
  <si>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</si>
  <si>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</si>
  <si>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</si>
  <si>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</si>
  <si>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</si>
  <si>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</si>
  <si>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</si>
  <si>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</si>
  <si>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</si>
  <si>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</si>
  <si>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</si>
  <si>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</si>
  <si>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</si>
  <si>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</si>
  <si>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</si>
  <si>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</si>
  <si>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</si>
  <si>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</si>
  <si>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</si>
  <si>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</si>
  <si>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</si>
  <si>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</si>
  <si>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</si>
  <si>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</si>
  <si>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</si>
  <si>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</si>
  <si>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</si>
  <si>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</si>
  <si>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</si>
  <si>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</si>
  <si>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</si>
  <si>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</si>
  <si>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</si>
  <si>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</si>
  <si>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</si>
  <si>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</si>
  <si>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</si>
  <si>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</si>
  <si>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</si>
  <si>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</si>
  <si>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</si>
  <si>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</si>
  <si>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</si>
  <si>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</si>
  <si>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</si>
  <si>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</si>
  <si>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</si>
  <si>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</si>
  <si>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</si>
  <si>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</si>
  <si>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</si>
  <si>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</si>
  <si>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</si>
  <si>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</si>
  <si>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</si>
  <si>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</si>
  <si>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</si>
  <si>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</si>
  <si>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</si>
  <si>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</si>
  <si>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</si>
  <si>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</si>
  <si>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</si>
  <si>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</si>
  <si>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</si>
  <si>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</si>
  <si>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</si>
  <si>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</si>
  <si>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</si>
  <si>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</si>
  <si>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</si>
  <si>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</si>
  <si>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</si>
  <si>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</si>
  <si>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</si>
  <si>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</si>
  <si>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</si>
  <si>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</si>
  <si>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</si>
  <si>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</si>
  <si>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</si>
  <si>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</si>
  <si>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</si>
  <si>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</si>
  <si>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</si>
  <si>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</si>
  <si>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</si>
  <si>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</si>
  <si>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</si>
  <si>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</si>
  <si>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</si>
  <si>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</si>
  <si>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</si>
  <si>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</si>
  <si>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</si>
  <si>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</si>
  <si>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</si>
  <si>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</si>
  <si>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</si>
  <si>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</si>
  <si>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</si>
  <si>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</si>
  <si>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</si>
  <si>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</si>
  <si>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</si>
  <si>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</si>
  <si>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</si>
  <si>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</si>
  <si>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</si>
  <si>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</si>
  <si>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</si>
  <si>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</si>
  <si>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</si>
  <si>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</si>
  <si>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</si>
  <si>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</si>
  <si>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</si>
  <si>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</si>
  <si>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</si>
  <si>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</si>
  <si>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</si>
  <si>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</si>
  <si>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</si>
  <si>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</si>
  <si>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</si>
  <si>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</si>
  <si>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</si>
  <si>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</si>
  <si>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</si>
  <si>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</si>
  <si>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</si>
  <si>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</si>
  <si>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</si>
  <si>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</si>
  <si>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</si>
  <si>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</si>
  <si>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</si>
  <si>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</si>
  <si>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</si>
  <si>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</si>
  <si>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</si>
  <si>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</si>
  <si>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</si>
  <si>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</si>
  <si>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</si>
  <si>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</si>
  <si>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</si>
  <si>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</si>
  <si>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</si>
  <si>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</si>
  <si>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</si>
  <si>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</si>
  <si>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</si>
  <si>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</si>
  <si>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</si>
  <si>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</si>
  <si>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</si>
  <si>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</si>
  <si>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</si>
  <si>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</si>
  <si>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</si>
  <si>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</si>
  <si>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</si>
  <si>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</si>
  <si>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</si>
  <si>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</si>
  <si>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</si>
  <si>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</si>
  <si>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</si>
  <si>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</si>
  <si>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</si>
  <si>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</si>
  <si>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</si>
  <si>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</si>
  <si>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</si>
  <si>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</si>
  <si>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</si>
  <si>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</si>
  <si>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</si>
  <si>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</si>
  <si>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</si>
  <si>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</si>
  <si>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</si>
  <si>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</si>
  <si>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</si>
  <si>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</si>
  <si>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</si>
  <si>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</si>
  <si>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</si>
  <si>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</si>
  <si>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</si>
  <si>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</si>
  <si>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</si>
  <si>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</si>
  <si>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</si>
  <si>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</si>
  <si>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</si>
  <si>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</si>
  <si>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</si>
  <si>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</si>
  <si>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</si>
  <si>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</si>
  <si>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</si>
  <si>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</si>
  <si>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</si>
  <si>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</si>
  <si>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</si>
  <si>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</si>
  <si>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</si>
  <si>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</si>
  <si>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</si>
  <si>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</si>
  <si>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</si>
  <si>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</si>
  <si>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</si>
  <si>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</si>
  <si>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</si>
  <si>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</si>
  <si>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</si>
  <si>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</si>
  <si>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</si>
  <si>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</si>
  <si>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</si>
  <si>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</si>
  <si>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</si>
  <si>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</si>
  <si>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</si>
  <si>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</si>
  <si>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</si>
  <si>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</si>
  <si>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</si>
  <si>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</si>
  <si>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</si>
  <si>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</si>
  <si>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</si>
  <si>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</si>
  <si>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</si>
  <si>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</si>
  <si>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</si>
  <si>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</si>
  <si>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</si>
  <si>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</si>
  <si>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</si>
  <si>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</si>
  <si>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</si>
  <si>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</si>
  <si>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</si>
  <si>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</si>
  <si>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</si>
  <si>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</si>
  <si>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</si>
  <si>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</si>
  <si>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</si>
  <si>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</si>
  <si>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</si>
  <si>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</si>
  <si>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</si>
  <si>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</si>
  <si>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</si>
  <si>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</si>
  <si>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</si>
  <si>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</si>
  <si>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</si>
  <si>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</si>
  <si>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</si>
  <si>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</si>
  <si>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</si>
  <si>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</si>
  <si>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</si>
  <si>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</si>
  <si>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</si>
  <si>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</si>
  <si>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</si>
  <si>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</si>
  <si>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</si>
  <si>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</si>
  <si>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</si>
  <si>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</si>
  <si>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</si>
  <si>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</si>
  <si>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</si>
  <si>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</si>
  <si>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</si>
  <si>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</si>
  <si>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</si>
  <si>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</si>
  <si>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</si>
  <si>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</si>
  <si>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</si>
  <si>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</si>
  <si>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</si>
  <si>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</si>
  <si>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</si>
  <si>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</si>
  <si>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</si>
  <si>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</si>
  <si>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</si>
  <si>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</si>
  <si>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</si>
  <si>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</si>
  <si>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</si>
  <si>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</si>
  <si>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</si>
  <si>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</si>
  <si>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</si>
  <si>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</si>
  <si>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</si>
  <si>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</si>
  <si>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</si>
  <si>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</si>
  <si>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</si>
  <si>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</si>
  <si>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</si>
  <si>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</si>
  <si>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</si>
  <si>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</si>
  <si>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</si>
  <si>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</si>
  <si>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</si>
  <si>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</si>
  <si>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</si>
  <si>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</si>
  <si>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</si>
  <si>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</si>
  <si>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</si>
  <si>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</si>
  <si>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</si>
  <si>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</si>
  <si>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</si>
  <si>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</si>
  <si>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</si>
  <si>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</si>
  <si>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</si>
  <si>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</si>
  <si>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</si>
  <si>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</si>
  <si>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</si>
  <si>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</si>
  <si>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</si>
  <si>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</si>
  <si>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</si>
  <si>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</si>
  <si>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</si>
  <si>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</si>
  <si>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</si>
  <si>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</si>
  <si>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</si>
  <si>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</si>
  <si>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</si>
  <si>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</si>
  <si>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</si>
  <si>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</si>
  <si>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</si>
  <si>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</si>
  <si>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</si>
  <si>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</si>
  <si>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</si>
  <si>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</si>
  <si>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</si>
  <si>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</si>
  <si>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</si>
  <si>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</si>
  <si>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</si>
  <si>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</si>
  <si>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</si>
  <si>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</si>
  <si>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</si>
  <si>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</si>
  <si>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</si>
  <si>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</si>
  <si>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</si>
  <si>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</si>
  <si>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</si>
  <si>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</si>
  <si>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</si>
  <si>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</si>
  <si>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</si>
  <si>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</si>
  <si>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</si>
  <si>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</si>
  <si>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</si>
  <si>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</si>
  <si>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</si>
  <si>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</si>
  <si>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</si>
  <si>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</si>
  <si>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</si>
  <si>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</si>
  <si>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</si>
  <si>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</si>
  <si>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</si>
  <si>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</si>
  <si>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</si>
  <si>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</si>
  <si>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</si>
  <si>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</si>
  <si>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</si>
  <si>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</si>
  <si>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</si>
  <si>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</si>
  <si>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</si>
  <si>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</si>
  <si>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</si>
  <si>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</si>
  <si>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</si>
  <si>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</si>
  <si>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</si>
  <si>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</si>
  <si>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</si>
  <si>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</si>
  <si>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</si>
  <si>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</si>
  <si>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</si>
  <si>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</si>
  <si>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</si>
  <si>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</si>
  <si>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</si>
  <si>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</si>
  <si>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</si>
  <si>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</si>
  <si>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</si>
  <si>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</si>
  <si>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</si>
  <si>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</si>
  <si>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</si>
  <si>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</si>
  <si>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</si>
  <si>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</si>
  <si>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</si>
  <si>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</si>
  <si>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</si>
  <si>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</si>
  <si>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</si>
  <si>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</si>
  <si>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</si>
  <si>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</si>
  <si>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</si>
  <si>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</si>
  <si>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</si>
  <si>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</si>
  <si>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</si>
  <si>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</si>
  <si>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</si>
  <si>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</si>
  <si>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</si>
  <si>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</si>
  <si>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</si>
  <si>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</si>
  <si>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</si>
  <si>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</si>
  <si>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</si>
  <si>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</si>
  <si>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</si>
  <si>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</si>
  <si>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</si>
  <si>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</si>
  <si>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</si>
  <si>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</si>
  <si>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</si>
  <si>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</si>
  <si>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</si>
  <si>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</si>
  <si>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</si>
  <si>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</si>
  <si>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</si>
  <si>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</si>
  <si>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</si>
  <si>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</si>
  <si>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</si>
  <si>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</si>
  <si>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</si>
  <si>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</si>
  <si>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</si>
  <si>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</si>
  <si>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</si>
  <si>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</si>
  <si>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</si>
  <si>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</si>
  <si>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</si>
  <si>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</si>
  <si>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</si>
  <si>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</si>
  <si>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</si>
  <si>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</si>
  <si>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</si>
  <si>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</si>
  <si>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</si>
  <si>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</si>
  <si>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</si>
  <si>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</si>
  <si>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</si>
  <si>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</si>
  <si>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</si>
  <si>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</si>
  <si>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</si>
  <si>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</si>
  <si>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</si>
  <si>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</si>
  <si>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</si>
  <si>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</si>
  <si>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</si>
  <si>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</si>
  <si>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</si>
  <si>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</si>
  <si>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</si>
  <si>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</si>
  <si>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</si>
  <si>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</si>
  <si>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</si>
  <si>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</si>
  <si>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</si>
  <si>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</si>
  <si>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</si>
  <si>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</si>
  <si>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</si>
  <si>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</si>
  <si>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</si>
  <si>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</si>
  <si>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</si>
  <si>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</si>
  <si>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</si>
  <si>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</si>
  <si>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</si>
  <si>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</si>
  <si>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</si>
  <si>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</si>
  <si>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</si>
  <si>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</si>
  <si>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</si>
  <si>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</si>
  <si>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</si>
  <si>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</si>
  <si>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</si>
  <si>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</si>
  <si>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</si>
  <si>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</si>
  <si>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</si>
  <si>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</si>
  <si>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</si>
  <si>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</si>
  <si>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</si>
  <si>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</si>
  <si>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</si>
  <si>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</si>
  <si>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</si>
  <si>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</si>
  <si>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</si>
  <si>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</si>
  <si>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</si>
  <si>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</si>
  <si>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</si>
  <si>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</si>
  <si>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</si>
  <si>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</si>
  <si>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</si>
  <si>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</si>
  <si>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</si>
  <si>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</si>
  <si>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</si>
  <si>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</si>
  <si>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</si>
  <si>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</si>
  <si>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</si>
  <si>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</si>
  <si>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</si>
  <si>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</si>
  <si>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</si>
  <si>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</si>
  <si>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</si>
  <si>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</si>
  <si>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</si>
  <si>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</si>
  <si>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</si>
  <si>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</si>
  <si>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</si>
  <si>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</si>
  <si>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</si>
  <si>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</si>
  <si>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</si>
  <si>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</si>
  <si>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</si>
  <si>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</si>
  <si>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</si>
  <si>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</si>
  <si>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</si>
  <si>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</si>
  <si>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</si>
  <si>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</si>
  <si>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</si>
  <si>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</si>
  <si>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</si>
  <si>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</si>
  <si>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</si>
  <si>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</si>
  <si>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</si>
  <si>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</si>
  <si>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</si>
  <si>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</si>
  <si>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</si>
  <si>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</si>
  <si>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</si>
  <si>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</si>
  <si>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</si>
  <si>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</si>
  <si>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</si>
  <si>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</si>
  <si>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</si>
  <si>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</si>
  <si>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</si>
  <si>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</si>
  <si>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</si>
  <si>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</si>
  <si>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</si>
  <si>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</si>
  <si>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</si>
  <si>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</si>
  <si>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</si>
  <si>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</si>
  <si>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</si>
  <si>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</si>
  <si>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</si>
  <si>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</si>
  <si>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</si>
  <si>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</si>
  <si>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</si>
  <si>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</si>
  <si>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</si>
  <si>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</si>
  <si>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</si>
  <si>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</si>
  <si>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</si>
  <si>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</si>
  <si>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</si>
  <si>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</si>
  <si>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</si>
  <si>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</si>
  <si>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</si>
  <si>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</si>
  <si>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</si>
  <si>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</si>
  <si>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</si>
  <si>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</si>
  <si>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</si>
  <si>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</si>
  <si>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</si>
  <si>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</si>
  <si>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</si>
  <si>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</si>
  <si>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</si>
  <si>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</si>
  <si>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</si>
  <si>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</si>
  <si>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</si>
  <si>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</si>
  <si>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</si>
  <si>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</si>
  <si>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</si>
  <si>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</si>
  <si>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</si>
  <si>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</si>
  <si>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</si>
  <si>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</si>
  <si>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</si>
  <si>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</si>
  <si>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</si>
  <si>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</si>
  <si>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</si>
  <si>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</si>
  <si>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</si>
  <si>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</si>
  <si>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</si>
  <si>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</si>
  <si>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</si>
  <si>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</si>
  <si>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</si>
  <si>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</si>
  <si>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</si>
  <si>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</si>
  <si>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</si>
  <si>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</si>
  <si>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</si>
  <si>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</si>
  <si>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</si>
  <si>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</si>
  <si>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</si>
  <si>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</si>
  <si>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</si>
  <si>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</si>
  <si>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</si>
  <si>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</si>
  <si>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</si>
  <si>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</si>
  <si>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</si>
  <si>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</si>
  <si>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</si>
  <si>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</si>
  <si>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</si>
  <si>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</si>
  <si>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</si>
  <si>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</si>
  <si>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</si>
  <si>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</si>
  <si>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</si>
  <si>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</si>
  <si>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</si>
  <si>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</si>
  <si>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</si>
  <si>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</si>
  <si>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</si>
  <si>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</si>
  <si>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</si>
  <si>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</si>
  <si>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</si>
  <si>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</si>
  <si>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</si>
  <si>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</si>
  <si>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</si>
  <si>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</si>
  <si>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</si>
  <si>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</si>
  <si>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</si>
  <si>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</si>
  <si>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</si>
  <si>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</si>
  <si>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</si>
  <si>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</si>
  <si>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</si>
  <si>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</si>
  <si>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</si>
  <si>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</si>
  <si>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</si>
  <si>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</si>
  <si>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</si>
  <si>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</si>
  <si>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</si>
  <si>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</si>
  <si>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</si>
  <si>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</si>
  <si>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</si>
  <si>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</si>
  <si>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</si>
  <si>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</si>
  <si>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</si>
  <si>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</si>
  <si>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</si>
  <si>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</si>
  <si>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23062</t>
  </si>
  <si>
    <t>OVERIJSE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</si>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</sst>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229003.38765721483</c:v>
                </c:pt>
                <c:pt idx="1">
                  <c:v>78332.789969399731</c:v>
                </c:pt>
                <c:pt idx="2">
                  <c:v>2045.8910000000001</c:v>
                </c:pt>
                <c:pt idx="3">
                  <c:v>8148.7040213143955</c:v>
                </c:pt>
                <c:pt idx="4">
                  <c:v>10002.667342343399</c:v>
                </c:pt>
                <c:pt idx="5">
                  <c:v>298430.6274098187</c:v>
                </c:pt>
                <c:pt idx="6">
                  <c:v>4255.1418940564281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229003.38765721483</c:v>
                </c:pt>
                <c:pt idx="1">
                  <c:v>78332.789969399731</c:v>
                </c:pt>
                <c:pt idx="2">
                  <c:v>2045.8910000000001</c:v>
                </c:pt>
                <c:pt idx="3">
                  <c:v>8148.7040213143955</c:v>
                </c:pt>
                <c:pt idx="4">
                  <c:v>10002.667342343399</c:v>
                </c:pt>
                <c:pt idx="5">
                  <c:v>298430.6274098187</c:v>
                </c:pt>
                <c:pt idx="6">
                  <c:v>4255.1418940564281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47838.546097138555</c:v>
                </c:pt>
                <c:pt idx="1">
                  <c:v>15638.806927688533</c:v>
                </c:pt>
                <c:pt idx="2">
                  <c:v>433.39878008809922</c:v>
                </c:pt>
                <c:pt idx="3">
                  <c:v>1788.6430735694166</c:v>
                </c:pt>
                <c:pt idx="4">
                  <c:v>1871.8212581215032</c:v>
                </c:pt>
                <c:pt idx="5">
                  <c:v>76294.830408052512</c:v>
                </c:pt>
                <c:pt idx="6">
                  <c:v>1101.9430767205097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47838.546097138555</c:v>
                </c:pt>
                <c:pt idx="1">
                  <c:v>15638.806927688533</c:v>
                </c:pt>
                <c:pt idx="2">
                  <c:v>433.39878008809922</c:v>
                </c:pt>
                <c:pt idx="3">
                  <c:v>1788.6430735694166</c:v>
                </c:pt>
                <c:pt idx="4">
                  <c:v>1871.8212581215032</c:v>
                </c:pt>
                <c:pt idx="5">
                  <c:v>76294.830408052512</c:v>
                </c:pt>
                <c:pt idx="6">
                  <c:v>1101.9430767205097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23062</v>
      </c>
      <c r="B6" s="415"/>
      <c r="C6" s="416"/>
    </row>
    <row r="7" spans="1:7" s="413" customFormat="1" ht="15.75" customHeight="1">
      <c r="A7" s="417" t="str">
        <f>txtMunicipality</f>
        <v>OVERIJSE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9727</v>
      </c>
      <c r="C9" s="342">
        <v>10641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1557.21</v>
      </c>
    </row>
    <row r="15" spans="1:6">
      <c r="A15" s="348" t="s">
        <v>184</v>
      </c>
      <c r="B15" s="334">
        <v>0</v>
      </c>
    </row>
    <row r="16" spans="1:6">
      <c r="A16" s="348" t="s">
        <v>6</v>
      </c>
      <c r="B16" s="334">
        <v>122</v>
      </c>
    </row>
    <row r="17" spans="1:6">
      <c r="A17" s="348" t="s">
        <v>7</v>
      </c>
      <c r="B17" s="334">
        <v>75</v>
      </c>
    </row>
    <row r="18" spans="1:6">
      <c r="A18" s="348" t="s">
        <v>8</v>
      </c>
      <c r="B18" s="334">
        <v>156</v>
      </c>
    </row>
    <row r="19" spans="1:6">
      <c r="A19" s="348" t="s">
        <v>9</v>
      </c>
      <c r="B19" s="334">
        <v>183</v>
      </c>
    </row>
    <row r="20" spans="1:6">
      <c r="A20" s="348" t="s">
        <v>10</v>
      </c>
      <c r="B20" s="334">
        <v>79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259</v>
      </c>
    </row>
    <row r="27" spans="1:6">
      <c r="A27" s="348" t="s">
        <v>17</v>
      </c>
      <c r="B27" s="334">
        <v>0</v>
      </c>
    </row>
    <row r="28" spans="1:6" s="356" customFormat="1">
      <c r="A28" s="355" t="s">
        <v>18</v>
      </c>
      <c r="B28" s="355">
        <v>48</v>
      </c>
    </row>
    <row r="29" spans="1:6">
      <c r="A29" s="355" t="s">
        <v>812</v>
      </c>
      <c r="B29" s="355">
        <v>144</v>
      </c>
      <c r="C29" s="356"/>
      <c r="D29" s="356"/>
      <c r="E29" s="356"/>
      <c r="F29" s="356"/>
    </row>
    <row r="30" spans="1:6">
      <c r="A30" s="355" t="s">
        <v>813</v>
      </c>
      <c r="B30" s="341">
        <v>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23865.641295000001</v>
      </c>
    </row>
    <row r="37" spans="1:6">
      <c r="A37" s="348" t="s">
        <v>25</v>
      </c>
      <c r="B37" s="348" t="s">
        <v>28</v>
      </c>
      <c r="C37" s="334">
        <v>0</v>
      </c>
      <c r="D37" s="334">
        <v>0</v>
      </c>
      <c r="E37" s="334">
        <v>0</v>
      </c>
      <c r="F37" s="334">
        <v>0</v>
      </c>
    </row>
    <row r="38" spans="1:6">
      <c r="A38" s="348" t="s">
        <v>25</v>
      </c>
      <c r="B38" s="348" t="s">
        <v>29</v>
      </c>
      <c r="C38" s="334">
        <v>1</v>
      </c>
      <c r="D38" s="334">
        <v>28390.336084999999</v>
      </c>
      <c r="E38" s="334">
        <v>3</v>
      </c>
      <c r="F38" s="334">
        <v>78651.730236000003</v>
      </c>
    </row>
    <row r="39" spans="1:6">
      <c r="A39" s="348" t="s">
        <v>30</v>
      </c>
      <c r="B39" s="348" t="s">
        <v>31</v>
      </c>
      <c r="C39" s="334">
        <v>6024</v>
      </c>
      <c r="D39" s="334">
        <v>138744648.74000001</v>
      </c>
      <c r="E39" s="334">
        <v>9559</v>
      </c>
      <c r="F39" s="334">
        <v>41081778.866999999</v>
      </c>
    </row>
    <row r="40" spans="1:6">
      <c r="A40" s="348" t="s">
        <v>30</v>
      </c>
      <c r="B40" s="348" t="s">
        <v>29</v>
      </c>
      <c r="C40" s="334">
        <v>1</v>
      </c>
      <c r="D40" s="334">
        <v>20996.752278</v>
      </c>
      <c r="E40" s="334">
        <v>1</v>
      </c>
      <c r="F40" s="334">
        <v>7686.1899567999999</v>
      </c>
    </row>
    <row r="41" spans="1:6">
      <c r="A41" s="348" t="s">
        <v>32</v>
      </c>
      <c r="B41" s="348" t="s">
        <v>33</v>
      </c>
      <c r="C41" s="334">
        <v>64</v>
      </c>
      <c r="D41" s="334">
        <v>1727516.5551</v>
      </c>
      <c r="E41" s="334">
        <v>158</v>
      </c>
      <c r="F41" s="334">
        <v>1449469.6436999999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76802.487536000001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162770.18989000001</v>
      </c>
      <c r="E47" s="334">
        <v>10</v>
      </c>
      <c r="F47" s="334">
        <v>389463.90808000002</v>
      </c>
    </row>
    <row r="48" spans="1:6">
      <c r="A48" s="348" t="s">
        <v>32</v>
      </c>
      <c r="B48" s="348" t="s">
        <v>29</v>
      </c>
      <c r="C48" s="334">
        <v>23</v>
      </c>
      <c r="D48" s="334">
        <v>1649441.8688000001</v>
      </c>
      <c r="E48" s="334">
        <v>25</v>
      </c>
      <c r="F48" s="334">
        <v>773535.23656999995</v>
      </c>
    </row>
    <row r="49" spans="1:6">
      <c r="A49" s="348" t="s">
        <v>32</v>
      </c>
      <c r="B49" s="348" t="s">
        <v>40</v>
      </c>
      <c r="C49" s="334">
        <v>0</v>
      </c>
      <c r="D49" s="334">
        <v>0</v>
      </c>
      <c r="E49" s="334">
        <v>0</v>
      </c>
      <c r="F49" s="334">
        <v>0</v>
      </c>
    </row>
    <row r="50" spans="1:6">
      <c r="A50" s="348" t="s">
        <v>32</v>
      </c>
      <c r="B50" s="348" t="s">
        <v>41</v>
      </c>
      <c r="C50" s="334">
        <v>3</v>
      </c>
      <c r="D50" s="334">
        <v>331666.50092999998</v>
      </c>
      <c r="E50" s="334">
        <v>9</v>
      </c>
      <c r="F50" s="334">
        <v>363385.51579999999</v>
      </c>
    </row>
    <row r="51" spans="1:6">
      <c r="A51" s="348" t="s">
        <v>42</v>
      </c>
      <c r="B51" s="348" t="s">
        <v>43</v>
      </c>
      <c r="C51" s="334">
        <v>17</v>
      </c>
      <c r="D51" s="334">
        <v>1131548.236</v>
      </c>
      <c r="E51" s="334">
        <v>91</v>
      </c>
      <c r="F51" s="334">
        <v>494538.36729000002</v>
      </c>
    </row>
    <row r="52" spans="1:6">
      <c r="A52" s="348" t="s">
        <v>42</v>
      </c>
      <c r="B52" s="348" t="s">
        <v>29</v>
      </c>
      <c r="C52" s="334">
        <v>6</v>
      </c>
      <c r="D52" s="334">
        <v>191970.78203</v>
      </c>
      <c r="E52" s="334">
        <v>6</v>
      </c>
      <c r="F52" s="334">
        <v>33719.570412000001</v>
      </c>
    </row>
    <row r="53" spans="1:6">
      <c r="A53" s="348" t="s">
        <v>44</v>
      </c>
      <c r="B53" s="348" t="s">
        <v>45</v>
      </c>
      <c r="C53" s="334">
        <v>179</v>
      </c>
      <c r="D53" s="334">
        <v>4884786.1541999998</v>
      </c>
      <c r="E53" s="334">
        <v>341</v>
      </c>
      <c r="F53" s="334">
        <v>1516383.2265999999</v>
      </c>
    </row>
    <row r="54" spans="1:6">
      <c r="A54" s="348" t="s">
        <v>46</v>
      </c>
      <c r="B54" s="348" t="s">
        <v>47</v>
      </c>
      <c r="C54" s="334">
        <v>0</v>
      </c>
      <c r="D54" s="334">
        <v>0</v>
      </c>
      <c r="E54" s="334">
        <v>1</v>
      </c>
      <c r="F54" s="334">
        <v>2045891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8586349.0502000004</v>
      </c>
      <c r="E57" s="334">
        <v>155</v>
      </c>
      <c r="F57" s="334">
        <v>5353368.1020999998</v>
      </c>
    </row>
    <row r="58" spans="1:6">
      <c r="A58" s="348" t="s">
        <v>49</v>
      </c>
      <c r="B58" s="348" t="s">
        <v>51</v>
      </c>
      <c r="C58" s="334">
        <v>35</v>
      </c>
      <c r="D58" s="334">
        <v>1380215.0134000001</v>
      </c>
      <c r="E58" s="334">
        <v>50</v>
      </c>
      <c r="F58" s="334">
        <v>547453.10075999994</v>
      </c>
    </row>
    <row r="59" spans="1:6">
      <c r="A59" s="348" t="s">
        <v>49</v>
      </c>
      <c r="B59" s="348" t="s">
        <v>52</v>
      </c>
      <c r="C59" s="334">
        <v>134</v>
      </c>
      <c r="D59" s="334">
        <v>6765287.8684999999</v>
      </c>
      <c r="E59" s="334">
        <v>270</v>
      </c>
      <c r="F59" s="334">
        <v>8094293.8811999997</v>
      </c>
    </row>
    <row r="60" spans="1:6">
      <c r="A60" s="348" t="s">
        <v>49</v>
      </c>
      <c r="B60" s="348" t="s">
        <v>53</v>
      </c>
      <c r="C60" s="334">
        <v>79</v>
      </c>
      <c r="D60" s="334">
        <v>4233890.2131000003</v>
      </c>
      <c r="E60" s="334">
        <v>94</v>
      </c>
      <c r="F60" s="334">
        <v>3361783.5636999998</v>
      </c>
    </row>
    <row r="61" spans="1:6">
      <c r="A61" s="348" t="s">
        <v>49</v>
      </c>
      <c r="B61" s="348" t="s">
        <v>54</v>
      </c>
      <c r="C61" s="334">
        <v>268</v>
      </c>
      <c r="D61" s="334">
        <v>11511282.02</v>
      </c>
      <c r="E61" s="334">
        <v>547</v>
      </c>
      <c r="F61" s="334">
        <v>6052765.2544</v>
      </c>
    </row>
    <row r="62" spans="1:6">
      <c r="A62" s="348" t="s">
        <v>49</v>
      </c>
      <c r="B62" s="348" t="s">
        <v>55</v>
      </c>
      <c r="C62" s="334">
        <v>10</v>
      </c>
      <c r="D62" s="334">
        <v>540247.61612999998</v>
      </c>
      <c r="E62" s="334">
        <v>16</v>
      </c>
      <c r="F62" s="334">
        <v>228634.29389999999</v>
      </c>
    </row>
    <row r="63" spans="1:6">
      <c r="A63" s="348" t="s">
        <v>49</v>
      </c>
      <c r="B63" s="348" t="s">
        <v>29</v>
      </c>
      <c r="C63" s="334">
        <v>112</v>
      </c>
      <c r="D63" s="334">
        <v>9158162.0470000003</v>
      </c>
      <c r="E63" s="334">
        <v>114</v>
      </c>
      <c r="F63" s="334">
        <v>4383043.1144000003</v>
      </c>
    </row>
    <row r="64" spans="1:6">
      <c r="A64" s="348" t="s">
        <v>56</v>
      </c>
      <c r="B64" s="348" t="s">
        <v>57</v>
      </c>
      <c r="C64" s="334">
        <v>0</v>
      </c>
      <c r="D64" s="334">
        <v>0</v>
      </c>
      <c r="E64" s="334">
        <v>0</v>
      </c>
      <c r="F64" s="334">
        <v>0</v>
      </c>
    </row>
    <row r="65" spans="1:6">
      <c r="A65" s="348" t="s">
        <v>56</v>
      </c>
      <c r="B65" s="348" t="s">
        <v>29</v>
      </c>
      <c r="C65" s="334">
        <v>4</v>
      </c>
      <c r="D65" s="334">
        <v>358236.62637000001</v>
      </c>
      <c r="E65" s="334">
        <v>5</v>
      </c>
      <c r="F65" s="334">
        <v>162829.71760999999</v>
      </c>
    </row>
    <row r="66" spans="1:6">
      <c r="A66" s="348" t="s">
        <v>56</v>
      </c>
      <c r="B66" s="348" t="s">
        <v>58</v>
      </c>
      <c r="C66" s="334">
        <v>0</v>
      </c>
      <c r="D66" s="334">
        <v>0</v>
      </c>
      <c r="E66" s="334">
        <v>23</v>
      </c>
      <c r="F66" s="334">
        <v>339950.04729999998</v>
      </c>
    </row>
    <row r="67" spans="1:6">
      <c r="A67" s="355" t="s">
        <v>56</v>
      </c>
      <c r="B67" s="355" t="s">
        <v>59</v>
      </c>
      <c r="C67" s="334">
        <v>0</v>
      </c>
      <c r="D67" s="334">
        <v>0</v>
      </c>
      <c r="E67" s="334">
        <v>0</v>
      </c>
      <c r="F67" s="334">
        <v>0</v>
      </c>
    </row>
    <row r="68" spans="1:6">
      <c r="A68" s="341" t="s">
        <v>56</v>
      </c>
      <c r="B68" s="341" t="s">
        <v>60</v>
      </c>
      <c r="C68" s="334">
        <v>4</v>
      </c>
      <c r="D68" s="334">
        <v>238545.09719999999</v>
      </c>
      <c r="E68" s="334">
        <v>13</v>
      </c>
      <c r="F68" s="334">
        <v>73551.770470000003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87705332</v>
      </c>
      <c r="E73" s="476">
        <v>89594118.576800898</v>
      </c>
    </row>
    <row r="74" spans="1:6">
      <c r="A74" s="348" t="s">
        <v>64</v>
      </c>
      <c r="B74" s="348" t="s">
        <v>667</v>
      </c>
      <c r="C74" s="1212" t="s">
        <v>669</v>
      </c>
      <c r="D74" s="476">
        <v>3131386.4489900069</v>
      </c>
      <c r="E74" s="476">
        <v>3198864.6171060428</v>
      </c>
    </row>
    <row r="75" spans="1:6">
      <c r="A75" s="348" t="s">
        <v>65</v>
      </c>
      <c r="B75" s="348" t="s">
        <v>666</v>
      </c>
      <c r="C75" s="1212" t="s">
        <v>670</v>
      </c>
      <c r="D75" s="476">
        <v>49095440</v>
      </c>
      <c r="E75" s="476">
        <v>50167539.529720239</v>
      </c>
    </row>
    <row r="76" spans="1:6">
      <c r="A76" s="348" t="s">
        <v>65</v>
      </c>
      <c r="B76" s="348" t="s">
        <v>667</v>
      </c>
      <c r="C76" s="1212" t="s">
        <v>671</v>
      </c>
      <c r="D76" s="476">
        <v>973943.44899000693</v>
      </c>
      <c r="E76" s="476">
        <v>1000360.0221467065</v>
      </c>
    </row>
    <row r="77" spans="1:6">
      <c r="A77" s="348" t="s">
        <v>66</v>
      </c>
      <c r="B77" s="348" t="s">
        <v>666</v>
      </c>
      <c r="C77" s="1212" t="s">
        <v>672</v>
      </c>
      <c r="D77" s="476">
        <v>218780990</v>
      </c>
      <c r="E77" s="476">
        <v>224393560.67721808</v>
      </c>
    </row>
    <row r="78" spans="1:6">
      <c r="A78" s="341" t="s">
        <v>66</v>
      </c>
      <c r="B78" s="341" t="s">
        <v>667</v>
      </c>
      <c r="C78" s="341" t="s">
        <v>673</v>
      </c>
      <c r="D78" s="1213">
        <v>16754397</v>
      </c>
      <c r="E78" s="1213">
        <v>16936603.480130993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1142873.1020199861</v>
      </c>
      <c r="C83" s="476">
        <v>1142873.1020199861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29.11242603550296</v>
      </c>
    </row>
    <row r="90" spans="1:6">
      <c r="A90" s="348" t="s">
        <v>552</v>
      </c>
      <c r="B90" s="1214">
        <v>0</v>
      </c>
    </row>
    <row r="91" spans="1:6">
      <c r="A91" s="348" t="s">
        <v>68</v>
      </c>
      <c r="B91" s="334">
        <v>2909.6472390454505</v>
      </c>
    </row>
    <row r="92" spans="1:6">
      <c r="A92" s="341" t="s">
        <v>69</v>
      </c>
      <c r="B92" s="342">
        <v>283.49089158099196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77730.584674350757</v>
      </c>
      <c r="C3" s="43" t="s">
        <v>170</v>
      </c>
      <c r="D3" s="43"/>
      <c r="E3" s="154"/>
      <c r="F3" s="43"/>
      <c r="G3" s="43"/>
      <c r="H3" s="43"/>
      <c r="I3" s="43"/>
      <c r="J3" s="43"/>
      <c r="K3" s="96"/>
    </row>
    <row r="4" spans="1:11">
      <c r="A4" s="383" t="s">
        <v>171</v>
      </c>
      <c r="B4" s="49">
        <f>IF(ISERROR('SEAP template'!B69),0,'SEAP template'!B69)</f>
        <v>3222.2505566619457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0.21183864638345795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2045.8910000000001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2045.8910000000001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0.21183864638345795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433.39878008809922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41089.465056956797</v>
      </c>
      <c r="C5" s="17">
        <f>IF(ISERROR('Eigen informatie GS &amp; warmtenet'!B57),0,'Eigen informatie GS &amp; warmtenet'!B57)</f>
        <v>0</v>
      </c>
      <c r="D5" s="30">
        <f>(SUM(HH_hh_gas_kWh,HH_rest_gas_kWh)/1000)*0.902</f>
        <v>125166.61223403476</v>
      </c>
      <c r="E5" s="17">
        <f>B46*B57</f>
        <v>5105.8418180474164</v>
      </c>
      <c r="F5" s="17">
        <f>B51*B62</f>
        <v>45225.288173437795</v>
      </c>
      <c r="G5" s="18"/>
      <c r="H5" s="17"/>
      <c r="I5" s="17"/>
      <c r="J5" s="17">
        <f>B50*B61+C50*C61</f>
        <v>0</v>
      </c>
      <c r="K5" s="17"/>
      <c r="L5" s="17"/>
      <c r="M5" s="17"/>
      <c r="N5" s="17">
        <f>B48*B59+C48*C59</f>
        <v>8622.1731356925993</v>
      </c>
      <c r="O5" s="17">
        <f>B69*B70*B71</f>
        <v>331.42666666666673</v>
      </c>
      <c r="P5" s="17">
        <f>B77*B78*B79/1000-B77*B78*B79/1000/B80</f>
        <v>552.93333333333339</v>
      </c>
    </row>
    <row r="6" spans="1:16">
      <c r="A6" s="16" t="s">
        <v>624</v>
      </c>
      <c r="B6" s="843">
        <f>kWh_PV_kleiner_dan_10kW</f>
        <v>2909.6472390454505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43999.112296002248</v>
      </c>
      <c r="C8" s="21">
        <f>C5</f>
        <v>0</v>
      </c>
      <c r="D8" s="21">
        <f>D5</f>
        <v>125166.61223403476</v>
      </c>
      <c r="E8" s="21">
        <f>E5</f>
        <v>5105.8418180474164</v>
      </c>
      <c r="F8" s="21">
        <f>F5</f>
        <v>45225.288173437795</v>
      </c>
      <c r="G8" s="21"/>
      <c r="H8" s="21"/>
      <c r="I8" s="21"/>
      <c r="J8" s="21">
        <f>J5</f>
        <v>0</v>
      </c>
      <c r="K8" s="21"/>
      <c r="L8" s="21">
        <f>L5</f>
        <v>0</v>
      </c>
      <c r="M8" s="21">
        <f>M5</f>
        <v>0</v>
      </c>
      <c r="N8" s="21">
        <f>N5</f>
        <v>8622.1731356925993</v>
      </c>
      <c r="O8" s="21">
        <f>O5</f>
        <v>331.42666666666673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0.21183864638345795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9320.7123908588765</v>
      </c>
      <c r="C12" s="23">
        <f ca="1">C10*C8</f>
        <v>0</v>
      </c>
      <c r="D12" s="23">
        <f>D8*D10</f>
        <v>25283.655671275024</v>
      </c>
      <c r="E12" s="23">
        <f>E10*E8</f>
        <v>1159.0260926967635</v>
      </c>
      <c r="F12" s="23">
        <f>F10*F8</f>
        <v>12075.151942307892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9727</v>
      </c>
      <c r="C28" s="36"/>
      <c r="D28" s="228"/>
    </row>
    <row r="29" spans="1:7" s="15" customFormat="1">
      <c r="A29" s="230" t="s">
        <v>699</v>
      </c>
      <c r="B29" s="37">
        <f>SUM(HH_hh_gas_aantal,HH_rest_gas_aantal)</f>
        <v>6025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6025</v>
      </c>
      <c r="C32" s="167">
        <f>IF(ISERROR(B32/SUM($B$32,$B$34,$B$35,$B$36,$B$38,$B$39)*100),0,B32/SUM($B$32,$B$34,$B$35,$B$36,$B$38,$B$39)*100)</f>
        <v>62.126211590018563</v>
      </c>
      <c r="D32" s="233"/>
      <c r="G32" s="15"/>
    </row>
    <row r="33" spans="1:7">
      <c r="A33" s="171" t="s">
        <v>72</v>
      </c>
      <c r="B33" s="34" t="s">
        <v>111</v>
      </c>
      <c r="C33" s="167"/>
      <c r="D33" s="233"/>
      <c r="G33" s="15"/>
    </row>
    <row r="34" spans="1:7">
      <c r="A34" s="171" t="s">
        <v>73</v>
      </c>
      <c r="B34" s="33">
        <f>IF((($B$28-$B$32-$B$39-$B$77-$B$38)*C20/100)&lt;0,0,($B$28-$B$32-$B$39-$B$77-$B$38)*C20/100)</f>
        <v>225.74352941176468</v>
      </c>
      <c r="C34" s="167">
        <f>IF(ISERROR(B34/SUM($B$32,$B$34,$B$35,$B$36,$B$38,$B$39)*100),0,B34/SUM($B$32,$B$34,$B$35,$B$36,$B$38,$B$39)*100)</f>
        <v>2.3277328254461196</v>
      </c>
      <c r="D34" s="233"/>
      <c r="G34" s="15"/>
    </row>
    <row r="35" spans="1:7">
      <c r="A35" s="171" t="s">
        <v>74</v>
      </c>
      <c r="B35" s="33">
        <f>IF((($B$28-$B$32-$B$39-$B$77-$B$38)*C21/100)&lt;0,0,($B$28-$B$32-$B$39-$B$77-$B$38)*C21/100)</f>
        <v>1455.130588235294</v>
      </c>
      <c r="C35" s="167">
        <f>IF(ISERROR(B35/SUM($B$32,$B$34,$B$35,$B$36,$B$38,$B$39)*100),0,B35/SUM($B$32,$B$34,$B$35,$B$36,$B$38,$B$39)*100)</f>
        <v>15.004439969429717</v>
      </c>
      <c r="D35" s="233"/>
      <c r="G35" s="15"/>
    </row>
    <row r="36" spans="1:7">
      <c r="A36" s="171" t="s">
        <v>75</v>
      </c>
      <c r="B36" s="33">
        <f>IF((($B$28-$B$32-$B$39-$B$77-$B$38)*C22/100)&lt;0,0,($B$28-$B$32-$B$39-$B$77-$B$38)*C22/100)</f>
        <v>134.22588235294117</v>
      </c>
      <c r="C36" s="167">
        <f>IF(ISERROR(B36/SUM($B$32,$B$34,$B$35,$B$36,$B$38,$B$39)*100),0,B36/SUM($B$32,$B$34,$B$35,$B$36,$B$38,$B$39)*100)</f>
        <v>1.3840573556706659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1857.9</v>
      </c>
      <c r="C39" s="167">
        <f>IF(ISERROR(B39/SUM($B$32,$B$34,$B$35,$B$36,$B$38,$B$39)*100),0,B39/SUM($B$32,$B$34,$B$35,$B$36,$B$38,$B$39)*100)</f>
        <v>19.157558259434936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6025</v>
      </c>
      <c r="C44" s="34" t="s">
        <v>111</v>
      </c>
      <c r="D44" s="174"/>
    </row>
    <row r="45" spans="1:7">
      <c r="A45" s="171" t="s">
        <v>72</v>
      </c>
      <c r="B45" s="33" t="str">
        <f t="shared" si="0"/>
        <v>-</v>
      </c>
      <c r="C45" s="34" t="s">
        <v>111</v>
      </c>
      <c r="D45" s="174"/>
    </row>
    <row r="46" spans="1:7">
      <c r="A46" s="171" t="s">
        <v>73</v>
      </c>
      <c r="B46" s="33">
        <f t="shared" si="0"/>
        <v>225.74352941176468</v>
      </c>
      <c r="C46" s="34" t="s">
        <v>111</v>
      </c>
      <c r="D46" s="174"/>
    </row>
    <row r="47" spans="1:7">
      <c r="A47" s="171" t="s">
        <v>74</v>
      </c>
      <c r="B47" s="33">
        <f t="shared" si="0"/>
        <v>1455.130588235294</v>
      </c>
      <c r="C47" s="34" t="s">
        <v>111</v>
      </c>
      <c r="D47" s="174"/>
    </row>
    <row r="48" spans="1:7">
      <c r="A48" s="171" t="s">
        <v>75</v>
      </c>
      <c r="B48" s="33">
        <f t="shared" si="0"/>
        <v>134.22588235294117</v>
      </c>
      <c r="C48" s="33">
        <f>B48*10</f>
        <v>1342.2588235294118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1857.9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28021.34131046</v>
      </c>
      <c r="C5" s="17">
        <f>IF(ISERROR('Eigen informatie GS &amp; warmtenet'!B58),0,'Eigen informatie GS &amp; warmtenet'!B58)</f>
        <v>0</v>
      </c>
      <c r="D5" s="30">
        <f>SUM(D6:D12)</f>
        <v>38042.24131315366</v>
      </c>
      <c r="E5" s="17">
        <f>SUM(E6:E12)</f>
        <v>531.65406295700996</v>
      </c>
      <c r="F5" s="17">
        <f>SUM(F6:F12)</f>
        <v>7107.0625358933776</v>
      </c>
      <c r="G5" s="18"/>
      <c r="H5" s="17"/>
      <c r="I5" s="17"/>
      <c r="J5" s="17">
        <f>SUM(J6:J12)</f>
        <v>0</v>
      </c>
      <c r="K5" s="17"/>
      <c r="L5" s="17"/>
      <c r="M5" s="17"/>
      <c r="N5" s="17">
        <f>SUM(N6:N12)</f>
        <v>4628.9274136023378</v>
      </c>
      <c r="O5" s="17">
        <f>B38*B39*B40</f>
        <v>1.5633333333333335</v>
      </c>
      <c r="P5" s="17">
        <f>B46*B47*B48/1000-B46*B47*B48/1000/B49</f>
        <v>0</v>
      </c>
      <c r="R5" s="32"/>
    </row>
    <row r="6" spans="1:18">
      <c r="A6" s="32" t="s">
        <v>54</v>
      </c>
      <c r="B6" s="37">
        <f>B26</f>
        <v>6052.7652544000002</v>
      </c>
      <c r="C6" s="33"/>
      <c r="D6" s="37">
        <f>IF(ISERROR(TER_kantoor_gas_kWh/1000),0,TER_kantoor_gas_kWh/1000)*0.902</f>
        <v>10383.176382039999</v>
      </c>
      <c r="E6" s="33">
        <f>$C$26*'E Balans VL '!I12/100/3.6*1000000</f>
        <v>79.2381531057502</v>
      </c>
      <c r="F6" s="33">
        <f>$C$26*('E Balans VL '!L12+'E Balans VL '!N12)/100/3.6*1000000</f>
        <v>1543.3925929322957</v>
      </c>
      <c r="G6" s="34"/>
      <c r="H6" s="33"/>
      <c r="I6" s="33"/>
      <c r="J6" s="33">
        <f>$C$26*('E Balans VL '!D12+'E Balans VL '!E12)/100/3.6*1000000</f>
        <v>0</v>
      </c>
      <c r="K6" s="33"/>
      <c r="L6" s="33"/>
      <c r="M6" s="33"/>
      <c r="N6" s="33">
        <f>$C$26*'E Balans VL '!Y12/100/3.6*1000000</f>
        <v>6.0731476171910801</v>
      </c>
      <c r="O6" s="33"/>
      <c r="P6" s="33"/>
      <c r="R6" s="32"/>
    </row>
    <row r="7" spans="1:18">
      <c r="A7" s="32" t="s">
        <v>53</v>
      </c>
      <c r="B7" s="37">
        <f t="shared" ref="B7:B12" si="0">B27</f>
        <v>3361.7835636999998</v>
      </c>
      <c r="C7" s="33"/>
      <c r="D7" s="37">
        <f>IF(ISERROR(TER_horeca_gas_kWh/1000),0,TER_horeca_gas_kWh/1000)*0.902</f>
        <v>3818.9689722162007</v>
      </c>
      <c r="E7" s="33">
        <f>$C$27*'E Balans VL '!I9/100/3.6*1000000</f>
        <v>111.25458691503439</v>
      </c>
      <c r="F7" s="33">
        <f>$C$27*('E Balans VL '!L9+'E Balans VL '!N9)/100/3.6*1000000</f>
        <v>1445.5540484757776</v>
      </c>
      <c r="G7" s="34"/>
      <c r="H7" s="33"/>
      <c r="I7" s="33"/>
      <c r="J7" s="33">
        <f>$C$27*('E Balans VL '!D9+'E Balans VL '!E9)/100/3.6*1000000</f>
        <v>0</v>
      </c>
      <c r="K7" s="33"/>
      <c r="L7" s="33"/>
      <c r="M7" s="33"/>
      <c r="N7" s="33">
        <f>$C$27*'E Balans VL '!Y9/100/3.6*1000000</f>
        <v>0.80923012223731494</v>
      </c>
      <c r="O7" s="33"/>
      <c r="P7" s="33"/>
      <c r="R7" s="32"/>
    </row>
    <row r="8" spans="1:18">
      <c r="A8" s="6" t="s">
        <v>52</v>
      </c>
      <c r="B8" s="37">
        <f t="shared" si="0"/>
        <v>8094.2938811999993</v>
      </c>
      <c r="C8" s="33"/>
      <c r="D8" s="37">
        <f>IF(ISERROR(TER_handel_gas_kWh/1000),0,TER_handel_gas_kWh/1000)*0.902</f>
        <v>6102.2896573869994</v>
      </c>
      <c r="E8" s="33">
        <f>$C$28*'E Balans VL '!I13/100/3.6*1000000</f>
        <v>255.46828260357788</v>
      </c>
      <c r="F8" s="33">
        <f>$C$28*('E Balans VL '!L13+'E Balans VL '!N13)/100/3.6*1000000</f>
        <v>1587.4335617694173</v>
      </c>
      <c r="G8" s="34"/>
      <c r="H8" s="33"/>
      <c r="I8" s="33"/>
      <c r="J8" s="33">
        <f>$C$28*('E Balans VL '!D13+'E Balans VL '!E13)/100/3.6*1000000</f>
        <v>0</v>
      </c>
      <c r="K8" s="33"/>
      <c r="L8" s="33"/>
      <c r="M8" s="33"/>
      <c r="N8" s="33">
        <f>$C$28*'E Balans VL '!Y13/100/3.6*1000000</f>
        <v>9.6063553491196814</v>
      </c>
      <c r="O8" s="33"/>
      <c r="P8" s="33"/>
      <c r="R8" s="32"/>
    </row>
    <row r="9" spans="1:18">
      <c r="A9" s="32" t="s">
        <v>51</v>
      </c>
      <c r="B9" s="37">
        <f t="shared" si="0"/>
        <v>547.45310075999998</v>
      </c>
      <c r="C9" s="33"/>
      <c r="D9" s="37">
        <f>IF(ISERROR(TER_gezond_gas_kWh/1000),0,TER_gezond_gas_kWh/1000)*0.902</f>
        <v>1244.9539420868002</v>
      </c>
      <c r="E9" s="33">
        <f>$C$29*'E Balans VL '!I10/100/3.6*1000000</f>
        <v>7.0090012282391367E-2</v>
      </c>
      <c r="F9" s="33">
        <f>$C$29*('E Balans VL '!L10+'E Balans VL '!N10)/100/3.6*1000000</f>
        <v>114.05742675059726</v>
      </c>
      <c r="G9" s="34"/>
      <c r="H9" s="33"/>
      <c r="I9" s="33"/>
      <c r="J9" s="33">
        <f>$C$29*('E Balans VL '!D10+'E Balans VL '!E10)/100/3.6*1000000</f>
        <v>0</v>
      </c>
      <c r="K9" s="33"/>
      <c r="L9" s="33"/>
      <c r="M9" s="33"/>
      <c r="N9" s="33">
        <f>$C$29*'E Balans VL '!Y10/100/3.6*1000000</f>
        <v>6.4300954287797616</v>
      </c>
      <c r="O9" s="33"/>
      <c r="P9" s="33"/>
      <c r="R9" s="32"/>
    </row>
    <row r="10" spans="1:18">
      <c r="A10" s="32" t="s">
        <v>50</v>
      </c>
      <c r="B10" s="37">
        <f t="shared" si="0"/>
        <v>5353.3681021000002</v>
      </c>
      <c r="C10" s="33"/>
      <c r="D10" s="37">
        <f>IF(ISERROR(TER_ander_gas_kWh/1000),0,TER_ander_gas_kWh/1000)*0.902</f>
        <v>7744.8868432804002</v>
      </c>
      <c r="E10" s="33">
        <f>$C$30*'E Balans VL '!I14/100/3.6*1000000</f>
        <v>8.0502066976013129</v>
      </c>
      <c r="F10" s="33">
        <f>$C$30*('E Balans VL '!L14+'E Balans VL '!N14)/100/3.6*1000000</f>
        <v>1181.8511132803826</v>
      </c>
      <c r="G10" s="34"/>
      <c r="H10" s="33"/>
      <c r="I10" s="33"/>
      <c r="J10" s="33">
        <f>$C$30*('E Balans VL '!D14+'E Balans VL '!E14)/100/3.6*1000000</f>
        <v>0</v>
      </c>
      <c r="K10" s="33"/>
      <c r="L10" s="33"/>
      <c r="M10" s="33"/>
      <c r="N10" s="33">
        <f>$C$30*'E Balans VL '!Y14/100/3.6*1000000</f>
        <v>4218.8143325446108</v>
      </c>
      <c r="O10" s="33"/>
      <c r="P10" s="33"/>
      <c r="R10" s="32"/>
    </row>
    <row r="11" spans="1:18">
      <c r="A11" s="32" t="s">
        <v>55</v>
      </c>
      <c r="B11" s="37">
        <f t="shared" si="0"/>
        <v>228.63429389999999</v>
      </c>
      <c r="C11" s="33"/>
      <c r="D11" s="37">
        <f>IF(ISERROR(TER_onderwijs_gas_kWh/1000),0,TER_onderwijs_gas_kWh/1000)*0.902</f>
        <v>487.30334974926001</v>
      </c>
      <c r="E11" s="33">
        <f>$C$31*'E Balans VL '!I11/100/3.6*1000000</f>
        <v>0.40264415104550139</v>
      </c>
      <c r="F11" s="33">
        <f>$C$31*('E Balans VL '!L11+'E Balans VL '!N11)/100/3.6*1000000</f>
        <v>105.56459062433561</v>
      </c>
      <c r="G11" s="34"/>
      <c r="H11" s="33"/>
      <c r="I11" s="33"/>
      <c r="J11" s="33">
        <f>$C$31*('E Balans VL '!D11+'E Balans VL '!E11)/100/3.6*1000000</f>
        <v>0</v>
      </c>
      <c r="K11" s="33"/>
      <c r="L11" s="33"/>
      <c r="M11" s="33"/>
      <c r="N11" s="33">
        <f>$C$31*'E Balans VL '!Y11/100/3.6*1000000</f>
        <v>0.42594885126875603</v>
      </c>
      <c r="O11" s="33"/>
      <c r="P11" s="33"/>
      <c r="R11" s="32"/>
    </row>
    <row r="12" spans="1:18">
      <c r="A12" s="32" t="s">
        <v>260</v>
      </c>
      <c r="B12" s="37">
        <f t="shared" si="0"/>
        <v>4383.0431144000004</v>
      </c>
      <c r="C12" s="33"/>
      <c r="D12" s="37">
        <f>IF(ISERROR(TER_rest_gas_kWh/1000),0,TER_rest_gas_kWh/1000)*0.902</f>
        <v>8260.6621663940005</v>
      </c>
      <c r="E12" s="33">
        <f>$C$32*'E Balans VL '!I8/100/3.6*1000000</f>
        <v>77.170099471718231</v>
      </c>
      <c r="F12" s="33">
        <f>$C$32*('E Balans VL '!L8+'E Balans VL '!N8)/100/3.6*1000000</f>
        <v>1129.2092020605721</v>
      </c>
      <c r="G12" s="34"/>
      <c r="H12" s="33"/>
      <c r="I12" s="33"/>
      <c r="J12" s="33">
        <f>$C$32*('E Balans VL '!D8+'E Balans VL '!E8)/100/3.6*1000000</f>
        <v>0</v>
      </c>
      <c r="K12" s="33"/>
      <c r="L12" s="33"/>
      <c r="M12" s="33"/>
      <c r="N12" s="33">
        <f>$C$32*'E Balans VL '!Y8/100/3.6*1000000</f>
        <v>386.76830368912999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28021.34131046</v>
      </c>
      <c r="C16" s="21">
        <f t="shared" ca="1" si="1"/>
        <v>0</v>
      </c>
      <c r="D16" s="21">
        <f t="shared" ca="1" si="1"/>
        <v>38042.24131315366</v>
      </c>
      <c r="E16" s="21">
        <f t="shared" si="1"/>
        <v>531.65406295700996</v>
      </c>
      <c r="F16" s="21">
        <f t="shared" ca="1" si="1"/>
        <v>7107.0625358933776</v>
      </c>
      <c r="G16" s="21">
        <f t="shared" si="1"/>
        <v>0</v>
      </c>
      <c r="H16" s="21">
        <f t="shared" si="1"/>
        <v>0</v>
      </c>
      <c r="I16" s="21">
        <f t="shared" si="1"/>
        <v>0</v>
      </c>
      <c r="J16" s="21">
        <f t="shared" si="1"/>
        <v>0</v>
      </c>
      <c r="K16" s="21">
        <f t="shared" si="1"/>
        <v>0</v>
      </c>
      <c r="L16" s="21">
        <f t="shared" ca="1" si="1"/>
        <v>0</v>
      </c>
      <c r="M16" s="21">
        <f t="shared" si="1"/>
        <v>0</v>
      </c>
      <c r="N16" s="21">
        <f t="shared" ca="1" si="1"/>
        <v>4628.9274136023378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0.21183864638345795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5936.0030130567184</v>
      </c>
      <c r="C20" s="23">
        <f t="shared" ref="C20:P20" ca="1" si="2">C16*C18</f>
        <v>0</v>
      </c>
      <c r="D20" s="23">
        <f t="shared" ca="1" si="2"/>
        <v>7684.53274525704</v>
      </c>
      <c r="E20" s="23">
        <f t="shared" si="2"/>
        <v>120.68547229124127</v>
      </c>
      <c r="F20" s="23">
        <f t="shared" ca="1" si="2"/>
        <v>1897.5856970835318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6052.7652544000002</v>
      </c>
      <c r="C26" s="39">
        <f>IF(ISERROR(B26*3.6/1000000/'E Balans VL '!Z12*100),0,B26*3.6/1000000/'E Balans VL '!Z12*100)</f>
        <v>0.12965493395947228</v>
      </c>
      <c r="D26" s="237" t="s">
        <v>660</v>
      </c>
      <c r="F26" s="6"/>
    </row>
    <row r="27" spans="1:18">
      <c r="A27" s="231" t="s">
        <v>53</v>
      </c>
      <c r="B27" s="33">
        <f>IF(ISERROR(TER_horeca_ele_kWh/1000),0,TER_horeca_ele_kWh/1000)</f>
        <v>3361.7835636999998</v>
      </c>
      <c r="C27" s="39">
        <f>IF(ISERROR(B27*3.6/1000000/'E Balans VL '!Z9*100),0,B27*3.6/1000000/'E Balans VL '!Z9*100)</f>
        <v>0.26977144554653276</v>
      </c>
      <c r="D27" s="237" t="s">
        <v>660</v>
      </c>
      <c r="F27" s="6"/>
    </row>
    <row r="28" spans="1:18">
      <c r="A28" s="171" t="s">
        <v>52</v>
      </c>
      <c r="B28" s="33">
        <f>IF(ISERROR(TER_handel_ele_kWh/1000),0,TER_handel_ele_kWh/1000)</f>
        <v>8094.2938811999993</v>
      </c>
      <c r="C28" s="39">
        <f>IF(ISERROR(B28*3.6/1000000/'E Balans VL '!Z13*100),0,B28*3.6/1000000/'E Balans VL '!Z13*100)</f>
        <v>0.2387352424775207</v>
      </c>
      <c r="D28" s="237" t="s">
        <v>660</v>
      </c>
      <c r="F28" s="6"/>
    </row>
    <row r="29" spans="1:18">
      <c r="A29" s="231" t="s">
        <v>51</v>
      </c>
      <c r="B29" s="33">
        <f>IF(ISERROR(TER_gezond_ele_kWh/1000),0,TER_gezond_ele_kWh/1000)</f>
        <v>547.45310075999998</v>
      </c>
      <c r="C29" s="39">
        <f>IF(ISERROR(B29*3.6/1000000/'E Balans VL '!Z10*100),0,B29*3.6/1000000/'E Balans VL '!Z10*100)</f>
        <v>5.8453313393124852E-2</v>
      </c>
      <c r="D29" s="237" t="s">
        <v>660</v>
      </c>
      <c r="F29" s="6"/>
    </row>
    <row r="30" spans="1:18">
      <c r="A30" s="231" t="s">
        <v>50</v>
      </c>
      <c r="B30" s="33">
        <f>IF(ISERROR(TER_ander_ele_kWh/1000),0,TER_ander_ele_kWh/1000)</f>
        <v>5353.3681021000002</v>
      </c>
      <c r="C30" s="39">
        <f>IF(ISERROR(B30*3.6/1000000/'E Balans VL '!Z14*100),0,B30*3.6/1000000/'E Balans VL '!Z14*100)</f>
        <v>0.40436091458019918</v>
      </c>
      <c r="D30" s="237" t="s">
        <v>660</v>
      </c>
      <c r="F30" s="6"/>
    </row>
    <row r="31" spans="1:18">
      <c r="A31" s="231" t="s">
        <v>55</v>
      </c>
      <c r="B31" s="33">
        <f>IF(ISERROR(TER_onderwijs_ele_kWh/1000),0,TER_onderwijs_ele_kWh/1000)</f>
        <v>228.63429389999999</v>
      </c>
      <c r="C31" s="39">
        <f>IF(ISERROR(B31*3.6/1000000/'E Balans VL '!Z11*100),0,B31*3.6/1000000/'E Balans VL '!Z11*100)</f>
        <v>4.616889634077561E-2</v>
      </c>
      <c r="D31" s="237" t="s">
        <v>660</v>
      </c>
    </row>
    <row r="32" spans="1:18">
      <c r="A32" s="231" t="s">
        <v>260</v>
      </c>
      <c r="B32" s="33">
        <f>IF(ISERROR(TER_rest_ele_kWh/1000),0,TER_rest_ele_kWh/1000)</f>
        <v>4383.0431144000004</v>
      </c>
      <c r="C32" s="39">
        <f>IF(ISERROR(B32*3.6/1000000/'E Balans VL '!Z8*100),0,B32*3.6/1000000/'E Balans VL '!Z8*100)</f>
        <v>3.6341530761882547E-2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3052.6567916860004</v>
      </c>
      <c r="C5" s="17">
        <f>IF(ISERROR('Eigen informatie GS &amp; warmtenet'!B59),0,'Eigen informatie GS &amp; warmtenet'!B59)</f>
        <v>0</v>
      </c>
      <c r="D5" s="30">
        <f>SUM(D6:D15)</f>
        <v>3491.99839347744</v>
      </c>
      <c r="E5" s="17">
        <f>SUM(E6:E15)</f>
        <v>425.52549270593886</v>
      </c>
      <c r="F5" s="17">
        <f>SUM(F6:F15)</f>
        <v>1542.0336123520926</v>
      </c>
      <c r="G5" s="18"/>
      <c r="H5" s="17"/>
      <c r="I5" s="17"/>
      <c r="J5" s="17">
        <f>SUM(J6:J15)</f>
        <v>32.343612069976565</v>
      </c>
      <c r="K5" s="17"/>
      <c r="L5" s="17"/>
      <c r="M5" s="17"/>
      <c r="N5" s="17">
        <f>SUM(N6:N15)</f>
        <v>1458.1094400519505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76.802487536000001</v>
      </c>
      <c r="C8" s="33"/>
      <c r="D8" s="37">
        <f>IF( ISERROR(IND_metaal_Gas_kWH/1000),0,IND_metaal_Gas_kWH/1000)*0.902</f>
        <v>0</v>
      </c>
      <c r="E8" s="33">
        <f>C30*'E Balans VL '!I18/100/3.6*1000000</f>
        <v>2.763585844820164</v>
      </c>
      <c r="F8" s="33">
        <f>C30*'E Balans VL '!L18/100/3.6*1000000+C30*'E Balans VL '!N18/100/3.6*1000000</f>
        <v>33.537156638188428</v>
      </c>
      <c r="G8" s="34"/>
      <c r="H8" s="33"/>
      <c r="I8" s="33"/>
      <c r="J8" s="40">
        <f>C30*'E Balans VL '!D18/100/3.6*1000000+C30*'E Balans VL '!E18/100/3.6*1000000</f>
        <v>0</v>
      </c>
      <c r="K8" s="33"/>
      <c r="L8" s="33"/>
      <c r="M8" s="33"/>
      <c r="N8" s="33">
        <f>C30*'E Balans VL '!Y18/100/3.6*1000000</f>
        <v>3.8492884824837077</v>
      </c>
      <c r="O8" s="33"/>
      <c r="P8" s="33"/>
      <c r="R8" s="32"/>
    </row>
    <row r="9" spans="1:18">
      <c r="A9" s="6" t="s">
        <v>33</v>
      </c>
      <c r="B9" s="37">
        <f t="shared" si="0"/>
        <v>1449.4696437</v>
      </c>
      <c r="C9" s="33"/>
      <c r="D9" s="37">
        <f>IF( ISERROR(IND_andere_gas_kWh/1000),0,IND_andere_gas_kWh/1000)*0.902</f>
        <v>1558.2199327001999</v>
      </c>
      <c r="E9" s="33">
        <f>C31*'E Balans VL '!I19/100/3.6*1000000</f>
        <v>369.8718579029927</v>
      </c>
      <c r="F9" s="33">
        <f>C31*'E Balans VL '!L19/100/3.6*1000000+C31*'E Balans VL '!N19/100/3.6*1000000</f>
        <v>1247.8844168518083</v>
      </c>
      <c r="G9" s="34"/>
      <c r="H9" s="33"/>
      <c r="I9" s="33"/>
      <c r="J9" s="40">
        <f>C31*'E Balans VL '!D19/100/3.6*1000000+C31*'E Balans VL '!E19/100/3.6*1000000</f>
        <v>0</v>
      </c>
      <c r="K9" s="33"/>
      <c r="L9" s="33"/>
      <c r="M9" s="33"/>
      <c r="N9" s="33">
        <f>C31*'E Balans VL '!Y19/100/3.6*1000000</f>
        <v>453.29879673603432</v>
      </c>
      <c r="O9" s="33"/>
      <c r="P9" s="33"/>
      <c r="R9" s="32"/>
    </row>
    <row r="10" spans="1:18">
      <c r="A10" s="6" t="s">
        <v>41</v>
      </c>
      <c r="B10" s="37">
        <f t="shared" si="0"/>
        <v>363.38551580000001</v>
      </c>
      <c r="C10" s="33"/>
      <c r="D10" s="37">
        <f>IF( ISERROR(IND_voed_gas_kWh/1000),0,IND_voed_gas_kWh/1000)*0.902</f>
        <v>299.16318383885999</v>
      </c>
      <c r="E10" s="33">
        <f>C32*'E Balans VL '!I20/100/3.6*1000000</f>
        <v>9.2377587808388775</v>
      </c>
      <c r="F10" s="33">
        <f>C32*'E Balans VL '!L20/100/3.6*1000000+C32*'E Balans VL '!N20/100/3.6*1000000</f>
        <v>82.228687338518085</v>
      </c>
      <c r="G10" s="34"/>
      <c r="H10" s="33"/>
      <c r="I10" s="33"/>
      <c r="J10" s="40">
        <f>C32*'E Balans VL '!D20/100/3.6*1000000+C32*'E Balans VL '!E20/100/3.6*1000000</f>
        <v>0</v>
      </c>
      <c r="K10" s="33"/>
      <c r="L10" s="33"/>
      <c r="M10" s="33"/>
      <c r="N10" s="33">
        <f>C32*'E Balans VL '!Y20/100/3.6*1000000</f>
        <v>136.27941837684045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389.46390808000001</v>
      </c>
      <c r="C13" s="33"/>
      <c r="D13" s="37">
        <f>IF( ISERROR(IND_papier_gas_kWh/1000),0,IND_papier_gas_kWh/1000)*0.902</f>
        <v>146.81871128078001</v>
      </c>
      <c r="E13" s="33">
        <f>C35*'E Balans VL '!I23/100/3.6*1000000</f>
        <v>1.6702973997782005</v>
      </c>
      <c r="F13" s="33">
        <f>C35*'E Balans VL '!L23/100/3.6*1000000+C35*'E Balans VL '!N23/100/3.6*1000000</f>
        <v>9.7884368290676083</v>
      </c>
      <c r="G13" s="34"/>
      <c r="H13" s="33"/>
      <c r="I13" s="33"/>
      <c r="J13" s="40">
        <f>C35*'E Balans VL '!D23/100/3.6*1000000+C35*'E Balans VL '!E23/100/3.6*1000000</f>
        <v>26.072472524291598</v>
      </c>
      <c r="K13" s="33"/>
      <c r="L13" s="33"/>
      <c r="M13" s="33"/>
      <c r="N13" s="33">
        <f>C35*'E Balans VL '!Y23/100/3.6*1000000</f>
        <v>708.91693075653927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773.53523656999994</v>
      </c>
      <c r="C15" s="33"/>
      <c r="D15" s="37">
        <f>IF( ISERROR(IND_rest_gas_kWh/1000),0,IND_rest_gas_kWh/1000)*0.902</f>
        <v>1487.7965656576</v>
      </c>
      <c r="E15" s="33">
        <f>C37*'E Balans VL '!I15/100/3.6*1000000</f>
        <v>41.981992777508964</v>
      </c>
      <c r="F15" s="33">
        <f>C37*'E Balans VL '!L15/100/3.6*1000000+C37*'E Balans VL '!N15/100/3.6*1000000</f>
        <v>168.59491469451024</v>
      </c>
      <c r="G15" s="34"/>
      <c r="H15" s="33"/>
      <c r="I15" s="33"/>
      <c r="J15" s="40">
        <f>C37*'E Balans VL '!D15/100/3.6*1000000+C37*'E Balans VL '!E15/100/3.6*1000000</f>
        <v>6.2711395456849672</v>
      </c>
      <c r="K15" s="33"/>
      <c r="L15" s="33"/>
      <c r="M15" s="33"/>
      <c r="N15" s="33">
        <f>C37*'E Balans VL '!Y15/100/3.6*1000000</f>
        <v>155.76500570005291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3052.6567916860004</v>
      </c>
      <c r="C18" s="21">
        <f>C5+C16</f>
        <v>0</v>
      </c>
      <c r="D18" s="21">
        <f>MAX((D5+D16),0)</f>
        <v>3491.99839347744</v>
      </c>
      <c r="E18" s="21">
        <f>MAX((E5+E16),0)</f>
        <v>425.52549270593886</v>
      </c>
      <c r="F18" s="21">
        <f>MAX((F5+F16),0)</f>
        <v>1542.0336123520926</v>
      </c>
      <c r="G18" s="21"/>
      <c r="H18" s="21"/>
      <c r="I18" s="21"/>
      <c r="J18" s="21">
        <f>MAX((J5+J16),0)</f>
        <v>32.343612069976565</v>
      </c>
      <c r="K18" s="21"/>
      <c r="L18" s="21">
        <f>MAX((L5+L16),0)</f>
        <v>0</v>
      </c>
      <c r="M18" s="21"/>
      <c r="N18" s="21">
        <f>MAX((N5+N16),0)</f>
        <v>1458.1094400519505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0.21183864638345795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646.67068262403188</v>
      </c>
      <c r="C22" s="23">
        <f ca="1">C18*C20</f>
        <v>0</v>
      </c>
      <c r="D22" s="23">
        <f>D18*D20</f>
        <v>705.38367548244298</v>
      </c>
      <c r="E22" s="23">
        <f>E18*E20</f>
        <v>96.594286844248117</v>
      </c>
      <c r="F22" s="23">
        <f>F18*F20</f>
        <v>411.72297449800874</v>
      </c>
      <c r="G22" s="23"/>
      <c r="H22" s="23"/>
      <c r="I22" s="23"/>
      <c r="J22" s="23">
        <f>J18*J20</f>
        <v>11.449638672771703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76.802487536000001</v>
      </c>
      <c r="C30" s="39">
        <f>IF(ISERROR(B30*3.6/1000000/'E Balans VL '!Z18*100),0,B30*3.6/1000000/'E Balans VL '!Z18*100)</f>
        <v>1.6272800506942714E-2</v>
      </c>
      <c r="D30" s="237" t="s">
        <v>660</v>
      </c>
    </row>
    <row r="31" spans="1:18">
      <c r="A31" s="6" t="s">
        <v>33</v>
      </c>
      <c r="B31" s="37">
        <f>IF( ISERROR(IND_ander_ele_kWh/1000),0,IND_ander_ele_kWh/1000)</f>
        <v>1449.4696437</v>
      </c>
      <c r="C31" s="39">
        <f>IF(ISERROR(B31*3.6/1000000/'E Balans VL '!Z19*100),0,B31*3.6/1000000/'E Balans VL '!Z19*100)</f>
        <v>6.1011468563518925E-2</v>
      </c>
      <c r="D31" s="237" t="s">
        <v>660</v>
      </c>
    </row>
    <row r="32" spans="1:18">
      <c r="A32" s="171" t="s">
        <v>41</v>
      </c>
      <c r="B32" s="37">
        <f>IF( ISERROR(IND_voed_ele_kWh/1000),0,IND_voed_ele_kWh/1000)</f>
        <v>363.38551580000001</v>
      </c>
      <c r="C32" s="39">
        <f>IF(ISERROR(B32*3.6/1000000/'E Balans VL '!Z20*100),0,B32*3.6/1000000/'E Balans VL '!Z20*100)</f>
        <v>6.0707661838731199E-2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389.46390808000001</v>
      </c>
      <c r="C35" s="39">
        <f>IF(ISERROR(B35*3.6/1000000/'E Balans VL '!Z22*100),0,B35*3.6/1000000/'E Balans VL '!Z22*100)</f>
        <v>4.9366650721792901E-2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773.53523656999994</v>
      </c>
      <c r="C37" s="39">
        <f>IF(ISERROR(B37*3.6/1000000/'E Balans VL '!Z15*100),0,B37*3.6/1000000/'E Balans VL '!Z15*100)</f>
        <v>6.2450494914016328E-3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528.25793770200005</v>
      </c>
      <c r="C5" s="17">
        <f>'Eigen informatie GS &amp; warmtenet'!B60</f>
        <v>0</v>
      </c>
      <c r="D5" s="30">
        <f>IF(ISERROR(SUM(LB_lb_gas_kWh,LB_rest_gas_kWh,onbekend_gas_kWh)/1000),0,SUM(LB_lb_gas_kWh,LB_rest_gas_kWh,onbekend_gas_kWh)/1000)*0.902</f>
        <v>5599.8912653514599</v>
      </c>
      <c r="E5" s="17">
        <f>B17*'E Balans VL '!I25/3.6*1000000/100</f>
        <v>13.621743937352441</v>
      </c>
      <c r="F5" s="17">
        <f>B17*('E Balans VL '!L25/3.6*1000000+'E Balans VL '!N25/3.6*1000000)/100</f>
        <v>1930.8833641380961</v>
      </c>
      <c r="G5" s="18"/>
      <c r="H5" s="17"/>
      <c r="I5" s="17"/>
      <c r="J5" s="17">
        <f>('E Balans VL '!D25+'E Balans VL '!E25)/3.6*1000000*landbouw!B17/100</f>
        <v>76.0497101854871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528.25793770200005</v>
      </c>
      <c r="C8" s="21">
        <f>C5+C6</f>
        <v>0</v>
      </c>
      <c r="D8" s="21">
        <f>MAX((D5+D6),0)</f>
        <v>5599.8912653514599</v>
      </c>
      <c r="E8" s="21">
        <f>MAX((E5+E6),0)</f>
        <v>13.621743937352441</v>
      </c>
      <c r="F8" s="21">
        <f>MAX((F5+F6),0)</f>
        <v>1930.8833641380961</v>
      </c>
      <c r="G8" s="21"/>
      <c r="H8" s="21"/>
      <c r="I8" s="21"/>
      <c r="J8" s="21">
        <f>MAX((J5+J6),0)</f>
        <v>76.0497101854871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0.21183864638345795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111.90544646410875</v>
      </c>
      <c r="C12" s="23">
        <f ca="1">C8*C10</f>
        <v>0</v>
      </c>
      <c r="D12" s="23">
        <f>D8*D10</f>
        <v>1131.1780356009949</v>
      </c>
      <c r="E12" s="23">
        <f>E8*E10</f>
        <v>3.0921358737790041</v>
      </c>
      <c r="F12" s="23">
        <f>F8*F10</f>
        <v>515.54585822487172</v>
      </c>
      <c r="G12" s="23"/>
      <c r="H12" s="23"/>
      <c r="I12" s="23"/>
      <c r="J12" s="23">
        <f>J8*J10</f>
        <v>26.921597405662432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7.4487868318101433E-2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47.84993858222122</v>
      </c>
      <c r="C26" s="247">
        <f>B26*'GWP N2O_CH4'!B5</f>
        <v>1004.8487102266456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6.4410938852380584</v>
      </c>
      <c r="C27" s="247">
        <f>B27*'GWP N2O_CH4'!B5</f>
        <v>135.26297158999924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0.57356883817869686</v>
      </c>
      <c r="C28" s="247">
        <f>B28*'GWP N2O_CH4'!B4</f>
        <v>177.80633983539602</v>
      </c>
      <c r="D28" s="50"/>
    </row>
    <row r="29" spans="1:4">
      <c r="A29" s="41" t="s">
        <v>277</v>
      </c>
      <c r="B29" s="247">
        <f>B34*'ha_N2O bodem landbouw'!B4</f>
        <v>10.273039905836965</v>
      </c>
      <c r="C29" s="247">
        <f>B29*'GWP N2O_CH4'!B4</f>
        <v>3184.6423708094594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2.3119922320410493E-3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2.9997121860184637E-4</v>
      </c>
      <c r="C5" s="463" t="s">
        <v>211</v>
      </c>
      <c r="D5" s="448">
        <f>SUM(D6:D11)</f>
        <v>6.7664766007290589E-4</v>
      </c>
      <c r="E5" s="448">
        <f>SUM(E6:E11)</f>
        <v>2.9915113648032272E-3</v>
      </c>
      <c r="F5" s="461" t="s">
        <v>211</v>
      </c>
      <c r="G5" s="448">
        <f>SUM(G6:G11)</f>
        <v>0.85155796558849817</v>
      </c>
      <c r="H5" s="448">
        <f>SUM(H6:H11)</f>
        <v>0.18641008535266021</v>
      </c>
      <c r="I5" s="463" t="s">
        <v>211</v>
      </c>
      <c r="J5" s="463" t="s">
        <v>211</v>
      </c>
      <c r="K5" s="463" t="s">
        <v>211</v>
      </c>
      <c r="L5" s="463" t="s">
        <v>211</v>
      </c>
      <c r="M5" s="448">
        <f>SUM(M6:M11)</f>
        <v>3.2414077490711207E-2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7.3988820939358278E-5</v>
      </c>
      <c r="C6" s="449"/>
      <c r="D6" s="962">
        <f>vkm_2011_GW_PW*SUMIFS(TableVerdeelsleutelVkm[CNG],TableVerdeelsleutelVkm[Voertuigtype],"Lichte voertuigen")*SUMIFS(TableECFTransport[EnergieConsumptieFactor (PJ per km)],TableECFTransport[Index],CONCATENATE($A6,"_CNG_CNG"))</f>
        <v>1.4701708323423666E-4</v>
      </c>
      <c r="E6" s="962">
        <f>vkm_2011_GW_PW*SUMIFS(TableVerdeelsleutelVkm[LPG],TableVerdeelsleutelVkm[Voertuigtype],"Lichte voertuigen")*SUMIFS(TableECFTransport[EnergieConsumptieFactor (PJ per km)],TableECFTransport[Index],CONCATENATE($A6,"_LPG_LPG"))</f>
        <v>5.7856492420030792E-4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0.13756288725469643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3.9801947342675711E-2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5.5268520271370448E-3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3.0005563981145258E-2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9.693078808800545E-6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9.4542941025059707E-4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4.1417250653574956E-5</v>
      </c>
      <c r="C8" s="449"/>
      <c r="D8" s="451">
        <f>vkm_2011_NGW_PW*SUMIFS(TableVerdeelsleutelVkm[CNG],TableVerdeelsleutelVkm[Voertuigtype],"Lichte voertuigen")*SUMIFS(TableECFTransport[EnergieConsumptieFactor (PJ per km)],TableECFTransport[Index],CONCATENATE($A8,"_CNG_CNG"))</f>
        <v>1.4571761621438831E-4</v>
      </c>
      <c r="E8" s="451">
        <f>vkm_2011_NGW_PW*SUMIFS(TableVerdeelsleutelVkm[LPG],TableVerdeelsleutelVkm[Voertuigtype],"Lichte voertuigen")*SUMIFS(TableECFTransport[EnergieConsumptieFactor (PJ per km)],TableECFTransport[Index],CONCATENATE($A8,"_LPG_LPG"))</f>
        <v>5.303409178758745E-4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0.11775059219442788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3.8253008047576517E-2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4.8563312013605855E-3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1.1912051813397233E-2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3.6392328325351397E-6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3.7532426164844424E-4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1.8456514700891316E-4</v>
      </c>
      <c r="C10" s="449"/>
      <c r="D10" s="451">
        <f>vkm_2011_SW_PW*SUMIFS(TableVerdeelsleutelVkm[CNG],TableVerdeelsleutelVkm[Voertuigtype],"Lichte voertuigen")*SUMIFS(TableECFTransport[EnergieConsumptieFactor (PJ per km)],TableECFTransport[Index],CONCATENATE($A10,"_CNG_CNG"))</f>
        <v>3.8391296062428084E-4</v>
      </c>
      <c r="E10" s="451">
        <f>vkm_2011_SW_PW*SUMIFS(TableVerdeelsleutelVkm[LPG],TableVerdeelsleutelVkm[Voertuigtype],"Lichte voertuigen")*SUMIFS(TableECFTransport[EnergieConsumptieFactor (PJ per km)],TableECFTransport[Index],CONCATENATE($A10,"_LPG_LPG"))</f>
        <v>1.8826055227270445E-3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0.40097336097259623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0.10828842165986279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1.5878091090804253E-2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0.15335350937223516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5.3375990903844997E-5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4.8320494995102827E-3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83.325338500512885</v>
      </c>
      <c r="C14" s="21"/>
      <c r="D14" s="21">
        <f t="shared" ref="D14:M14" si="0">((D5)*10^9/3600)+D12</f>
        <v>187.957683353585</v>
      </c>
      <c r="E14" s="21">
        <f t="shared" si="0"/>
        <v>830.97537911200754</v>
      </c>
      <c r="F14" s="21"/>
      <c r="G14" s="21">
        <f t="shared" si="0"/>
        <v>236543.87933013836</v>
      </c>
      <c r="H14" s="21">
        <f t="shared" si="0"/>
        <v>51780.579264627835</v>
      </c>
      <c r="I14" s="21"/>
      <c r="J14" s="21"/>
      <c r="K14" s="21"/>
      <c r="L14" s="21"/>
      <c r="M14" s="21">
        <f t="shared" si="0"/>
        <v>9003.9104140864474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0.21183864638345795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17.651526917392083</v>
      </c>
      <c r="C18" s="23"/>
      <c r="D18" s="23">
        <f t="shared" ref="D18:M18" si="1">D14*D16</f>
        <v>37.967452037424174</v>
      </c>
      <c r="E18" s="23">
        <f t="shared" si="1"/>
        <v>188.63141105842573</v>
      </c>
      <c r="F18" s="23"/>
      <c r="G18" s="23">
        <f t="shared" si="1"/>
        <v>63157.215781146944</v>
      </c>
      <c r="H18" s="23">
        <f t="shared" si="1"/>
        <v>12893.36423689233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1.4857659461400127E-2</v>
      </c>
      <c r="H50" s="321">
        <f t="shared" si="2"/>
        <v>0</v>
      </c>
      <c r="I50" s="321">
        <f t="shared" si="2"/>
        <v>0</v>
      </c>
      <c r="J50" s="321">
        <f t="shared" si="2"/>
        <v>0</v>
      </c>
      <c r="K50" s="321">
        <f t="shared" si="2"/>
        <v>0</v>
      </c>
      <c r="L50" s="321">
        <f t="shared" si="2"/>
        <v>0</v>
      </c>
      <c r="M50" s="321">
        <f t="shared" si="2"/>
        <v>4.6085135720301334E-4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1.4857659461400127E-2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4.6085135720301334E-4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4127.1276281667024</v>
      </c>
      <c r="H54" s="21">
        <f t="shared" si="3"/>
        <v>0</v>
      </c>
      <c r="I54" s="21">
        <f t="shared" si="3"/>
        <v>0</v>
      </c>
      <c r="J54" s="21">
        <f t="shared" si="3"/>
        <v>0</v>
      </c>
      <c r="K54" s="21">
        <f t="shared" si="3"/>
        <v>0</v>
      </c>
      <c r="L54" s="21">
        <f t="shared" si="3"/>
        <v>0</v>
      </c>
      <c r="M54" s="21">
        <f t="shared" si="3"/>
        <v>128.01426588972592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0.21183864638345795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1101.9430767205097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29.11242603550296</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3193.1381306264425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3222.2505566619457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30067.23231046</v>
      </c>
      <c r="D10" s="718">
        <f ca="1">tertiair!C16</f>
        <v>0</v>
      </c>
      <c r="E10" s="718">
        <f ca="1">tertiair!D16</f>
        <v>38042.24131315366</v>
      </c>
      <c r="F10" s="718">
        <f>tertiair!E16</f>
        <v>531.65406295700996</v>
      </c>
      <c r="G10" s="718">
        <f ca="1">tertiair!F16</f>
        <v>7107.0625358933776</v>
      </c>
      <c r="H10" s="718">
        <f>tertiair!G16</f>
        <v>0</v>
      </c>
      <c r="I10" s="718">
        <f>tertiair!H16</f>
        <v>0</v>
      </c>
      <c r="J10" s="718">
        <f>tertiair!I16</f>
        <v>0</v>
      </c>
      <c r="K10" s="718">
        <f>tertiair!J16</f>
        <v>0</v>
      </c>
      <c r="L10" s="718">
        <f>tertiair!K16</f>
        <v>0</v>
      </c>
      <c r="M10" s="718">
        <f ca="1">tertiair!L16</f>
        <v>0</v>
      </c>
      <c r="N10" s="718">
        <f>tertiair!M16</f>
        <v>0</v>
      </c>
      <c r="O10" s="718">
        <f ca="1">tertiair!N16</f>
        <v>4628.9274136023378</v>
      </c>
      <c r="P10" s="718">
        <f>tertiair!O16</f>
        <v>1.5633333333333335</v>
      </c>
      <c r="Q10" s="719">
        <f>tertiair!P16</f>
        <v>0</v>
      </c>
      <c r="R10" s="721">
        <f ca="1">SUM(C10:Q10)</f>
        <v>80378.680969399706</v>
      </c>
      <c r="S10" s="67"/>
    </row>
    <row r="11" spans="1:19" s="474" customFormat="1">
      <c r="A11" s="870" t="s">
        <v>225</v>
      </c>
      <c r="B11" s="875"/>
      <c r="C11" s="718">
        <f>huishoudens!B8</f>
        <v>43999.112296002248</v>
      </c>
      <c r="D11" s="718">
        <f>huishoudens!C8</f>
        <v>0</v>
      </c>
      <c r="E11" s="718">
        <f>huishoudens!D8</f>
        <v>125166.61223403476</v>
      </c>
      <c r="F11" s="718">
        <f>huishoudens!E8</f>
        <v>5105.8418180474164</v>
      </c>
      <c r="G11" s="718">
        <f>huishoudens!F8</f>
        <v>45225.288173437795</v>
      </c>
      <c r="H11" s="718">
        <f>huishoudens!G8</f>
        <v>0</v>
      </c>
      <c r="I11" s="718">
        <f>huishoudens!H8</f>
        <v>0</v>
      </c>
      <c r="J11" s="718">
        <f>huishoudens!I8</f>
        <v>0</v>
      </c>
      <c r="K11" s="718">
        <f>huishoudens!J8</f>
        <v>0</v>
      </c>
      <c r="L11" s="718">
        <f>huishoudens!K8</f>
        <v>0</v>
      </c>
      <c r="M11" s="718">
        <f>huishoudens!L8</f>
        <v>0</v>
      </c>
      <c r="N11" s="718">
        <f>huishoudens!M8</f>
        <v>0</v>
      </c>
      <c r="O11" s="718">
        <f>huishoudens!N8</f>
        <v>8622.1731356925993</v>
      </c>
      <c r="P11" s="718">
        <f>huishoudens!O8</f>
        <v>331.42666666666673</v>
      </c>
      <c r="Q11" s="719">
        <f>huishoudens!P8</f>
        <v>552.93333333333339</v>
      </c>
      <c r="R11" s="721">
        <f>SUM(C11:Q11)</f>
        <v>229003.38765721483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3052.6567916860004</v>
      </c>
      <c r="D13" s="718">
        <f>industrie!C18</f>
        <v>0</v>
      </c>
      <c r="E13" s="718">
        <f>industrie!D18</f>
        <v>3491.99839347744</v>
      </c>
      <c r="F13" s="718">
        <f>industrie!E18</f>
        <v>425.52549270593886</v>
      </c>
      <c r="G13" s="718">
        <f>industrie!F18</f>
        <v>1542.0336123520926</v>
      </c>
      <c r="H13" s="718">
        <f>industrie!G18</f>
        <v>0</v>
      </c>
      <c r="I13" s="718">
        <f>industrie!H18</f>
        <v>0</v>
      </c>
      <c r="J13" s="718">
        <f>industrie!I18</f>
        <v>0</v>
      </c>
      <c r="K13" s="718">
        <f>industrie!J18</f>
        <v>32.343612069976565</v>
      </c>
      <c r="L13" s="718">
        <f>industrie!K18</f>
        <v>0</v>
      </c>
      <c r="M13" s="718">
        <f>industrie!L18</f>
        <v>0</v>
      </c>
      <c r="N13" s="718">
        <f>industrie!M18</f>
        <v>0</v>
      </c>
      <c r="O13" s="718">
        <f>industrie!N18</f>
        <v>1458.1094400519505</v>
      </c>
      <c r="P13" s="718">
        <f>industrie!O18</f>
        <v>0</v>
      </c>
      <c r="Q13" s="719">
        <f>industrie!P18</f>
        <v>0</v>
      </c>
      <c r="R13" s="721">
        <f>SUM(C13:Q13)</f>
        <v>10002.667342343399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77119.001398148248</v>
      </c>
      <c r="D15" s="723">
        <f t="shared" ref="D15:Q15" ca="1" si="0">SUM(D9:D14)</f>
        <v>0</v>
      </c>
      <c r="E15" s="723">
        <f t="shared" ca="1" si="0"/>
        <v>166700.85194066586</v>
      </c>
      <c r="F15" s="723">
        <f t="shared" si="0"/>
        <v>6063.021373710365</v>
      </c>
      <c r="G15" s="723">
        <f t="shared" ca="1" si="0"/>
        <v>53874.384321683261</v>
      </c>
      <c r="H15" s="723">
        <f t="shared" si="0"/>
        <v>0</v>
      </c>
      <c r="I15" s="723">
        <f t="shared" si="0"/>
        <v>0</v>
      </c>
      <c r="J15" s="723">
        <f t="shared" si="0"/>
        <v>0</v>
      </c>
      <c r="K15" s="723">
        <f t="shared" si="0"/>
        <v>32.343612069976565</v>
      </c>
      <c r="L15" s="723">
        <f t="shared" si="0"/>
        <v>0</v>
      </c>
      <c r="M15" s="723">
        <f t="shared" ca="1" si="0"/>
        <v>0</v>
      </c>
      <c r="N15" s="723">
        <f t="shared" si="0"/>
        <v>0</v>
      </c>
      <c r="O15" s="723">
        <f t="shared" ca="1" si="0"/>
        <v>14709.209989346888</v>
      </c>
      <c r="P15" s="723">
        <f t="shared" si="0"/>
        <v>332.99000000000007</v>
      </c>
      <c r="Q15" s="724">
        <f t="shared" si="0"/>
        <v>552.93333333333339</v>
      </c>
      <c r="R15" s="725">
        <f ca="1">SUM(R9:R14)</f>
        <v>319384.73596895795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4127.1276281667024</v>
      </c>
      <c r="I18" s="718">
        <f>transport!H54</f>
        <v>0</v>
      </c>
      <c r="J18" s="718">
        <f>transport!I54</f>
        <v>0</v>
      </c>
      <c r="K18" s="718">
        <f>transport!J54</f>
        <v>0</v>
      </c>
      <c r="L18" s="718">
        <f>transport!K54</f>
        <v>0</v>
      </c>
      <c r="M18" s="718">
        <f>transport!L54</f>
        <v>0</v>
      </c>
      <c r="N18" s="718">
        <f>transport!M54</f>
        <v>128.01426588972592</v>
      </c>
      <c r="O18" s="718">
        <f>transport!N54</f>
        <v>0</v>
      </c>
      <c r="P18" s="718">
        <f>transport!O54</f>
        <v>0</v>
      </c>
      <c r="Q18" s="719">
        <f>transport!P54</f>
        <v>0</v>
      </c>
      <c r="R18" s="721">
        <f>SUM(C18:Q18)</f>
        <v>4255.1418940564281</v>
      </c>
      <c r="S18" s="67"/>
    </row>
    <row r="19" spans="1:19" s="474" customFormat="1" ht="15" thickBot="1">
      <c r="A19" s="870" t="s">
        <v>307</v>
      </c>
      <c r="B19" s="875"/>
      <c r="C19" s="727">
        <f>transport!B14</f>
        <v>83.325338500512885</v>
      </c>
      <c r="D19" s="727">
        <f>transport!C14</f>
        <v>0</v>
      </c>
      <c r="E19" s="727">
        <f>transport!D14</f>
        <v>187.957683353585</v>
      </c>
      <c r="F19" s="727">
        <f>transport!E14</f>
        <v>830.97537911200754</v>
      </c>
      <c r="G19" s="727">
        <f>transport!F14</f>
        <v>0</v>
      </c>
      <c r="H19" s="727">
        <f>transport!G14</f>
        <v>236543.87933013836</v>
      </c>
      <c r="I19" s="727">
        <f>transport!H14</f>
        <v>51780.579264627835</v>
      </c>
      <c r="J19" s="727">
        <f>transport!I14</f>
        <v>0</v>
      </c>
      <c r="K19" s="727">
        <f>transport!J14</f>
        <v>0</v>
      </c>
      <c r="L19" s="727">
        <f>transport!K14</f>
        <v>0</v>
      </c>
      <c r="M19" s="727">
        <f>transport!L14</f>
        <v>0</v>
      </c>
      <c r="N19" s="727">
        <f>transport!M14</f>
        <v>9003.9104140864474</v>
      </c>
      <c r="O19" s="727">
        <f>transport!N14</f>
        <v>0</v>
      </c>
      <c r="P19" s="727">
        <f>transport!O14</f>
        <v>0</v>
      </c>
      <c r="Q19" s="728">
        <f>transport!P14</f>
        <v>0</v>
      </c>
      <c r="R19" s="729">
        <f>SUM(C19:Q19)</f>
        <v>298430.6274098187</v>
      </c>
      <c r="S19" s="67"/>
    </row>
    <row r="20" spans="1:19" s="474" customFormat="1" ht="15.75" thickBot="1">
      <c r="A20" s="730" t="s">
        <v>230</v>
      </c>
      <c r="B20" s="878"/>
      <c r="C20" s="873">
        <f>SUM(C17:C19)</f>
        <v>83.325338500512885</v>
      </c>
      <c r="D20" s="731">
        <f t="shared" ref="D20:R20" si="1">SUM(D17:D19)</f>
        <v>0</v>
      </c>
      <c r="E20" s="731">
        <f t="shared" si="1"/>
        <v>187.957683353585</v>
      </c>
      <c r="F20" s="731">
        <f t="shared" si="1"/>
        <v>830.97537911200754</v>
      </c>
      <c r="G20" s="731">
        <f t="shared" si="1"/>
        <v>0</v>
      </c>
      <c r="H20" s="731">
        <f t="shared" si="1"/>
        <v>240671.00695830505</v>
      </c>
      <c r="I20" s="731">
        <f t="shared" si="1"/>
        <v>51780.579264627835</v>
      </c>
      <c r="J20" s="731">
        <f t="shared" si="1"/>
        <v>0</v>
      </c>
      <c r="K20" s="731">
        <f t="shared" si="1"/>
        <v>0</v>
      </c>
      <c r="L20" s="731">
        <f t="shared" si="1"/>
        <v>0</v>
      </c>
      <c r="M20" s="731">
        <f t="shared" si="1"/>
        <v>0</v>
      </c>
      <c r="N20" s="731">
        <f t="shared" si="1"/>
        <v>9131.9246799761731</v>
      </c>
      <c r="O20" s="731">
        <f t="shared" si="1"/>
        <v>0</v>
      </c>
      <c r="P20" s="731">
        <f t="shared" si="1"/>
        <v>0</v>
      </c>
      <c r="Q20" s="732">
        <f t="shared" si="1"/>
        <v>0</v>
      </c>
      <c r="R20" s="733">
        <f t="shared" si="1"/>
        <v>302685.7693038751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528.25793770200005</v>
      </c>
      <c r="D22" s="727">
        <f>+landbouw!C8</f>
        <v>0</v>
      </c>
      <c r="E22" s="727">
        <f>+landbouw!D8</f>
        <v>5599.8912653514599</v>
      </c>
      <c r="F22" s="727">
        <f>+landbouw!E8</f>
        <v>13.621743937352441</v>
      </c>
      <c r="G22" s="727">
        <f>+landbouw!F8</f>
        <v>1930.8833641380961</v>
      </c>
      <c r="H22" s="727">
        <f>+landbouw!G8</f>
        <v>0</v>
      </c>
      <c r="I22" s="727">
        <f>+landbouw!H8</f>
        <v>0</v>
      </c>
      <c r="J22" s="727">
        <f>+landbouw!I8</f>
        <v>0</v>
      </c>
      <c r="K22" s="727">
        <f>+landbouw!J8</f>
        <v>76.0497101854871</v>
      </c>
      <c r="L22" s="727">
        <f>+landbouw!K8</f>
        <v>0</v>
      </c>
      <c r="M22" s="727">
        <f>+landbouw!L8</f>
        <v>0</v>
      </c>
      <c r="N22" s="727">
        <f>+landbouw!M8</f>
        <v>0</v>
      </c>
      <c r="O22" s="727">
        <f>+landbouw!N8</f>
        <v>0</v>
      </c>
      <c r="P22" s="727">
        <f>+landbouw!O8</f>
        <v>0</v>
      </c>
      <c r="Q22" s="728">
        <f>+landbouw!P8</f>
        <v>0</v>
      </c>
      <c r="R22" s="729">
        <f>SUM(C22:Q22)</f>
        <v>8148.7040213143955</v>
      </c>
      <c r="S22" s="67"/>
    </row>
    <row r="23" spans="1:19" s="474" customFormat="1" ht="17.25" thickTop="1" thickBot="1">
      <c r="A23" s="734" t="s">
        <v>116</v>
      </c>
      <c r="B23" s="864"/>
      <c r="C23" s="735">
        <f ca="1">C20+C15+C22</f>
        <v>77730.584674350757</v>
      </c>
      <c r="D23" s="735">
        <f t="shared" ref="D23:Q23" ca="1" si="2">D20+D15+D22</f>
        <v>0</v>
      </c>
      <c r="E23" s="735">
        <f t="shared" ca="1" si="2"/>
        <v>172488.70088937093</v>
      </c>
      <c r="F23" s="735">
        <f t="shared" si="2"/>
        <v>6907.6184967597246</v>
      </c>
      <c r="G23" s="735">
        <f t="shared" ca="1" si="2"/>
        <v>55805.26768582136</v>
      </c>
      <c r="H23" s="735">
        <f t="shared" si="2"/>
        <v>240671.00695830505</v>
      </c>
      <c r="I23" s="735">
        <f t="shared" si="2"/>
        <v>51780.579264627835</v>
      </c>
      <c r="J23" s="735">
        <f t="shared" si="2"/>
        <v>0</v>
      </c>
      <c r="K23" s="735">
        <f t="shared" si="2"/>
        <v>108.39332225546366</v>
      </c>
      <c r="L23" s="735">
        <f t="shared" si="2"/>
        <v>0</v>
      </c>
      <c r="M23" s="735">
        <f t="shared" ca="1" si="2"/>
        <v>0</v>
      </c>
      <c r="N23" s="735">
        <f t="shared" si="2"/>
        <v>9131.9246799761731</v>
      </c>
      <c r="O23" s="735">
        <f t="shared" ca="1" si="2"/>
        <v>14709.209989346888</v>
      </c>
      <c r="P23" s="735">
        <f t="shared" si="2"/>
        <v>332.99000000000007</v>
      </c>
      <c r="Q23" s="736">
        <f t="shared" si="2"/>
        <v>552.93333333333339</v>
      </c>
      <c r="R23" s="737">
        <f ca="1">R20+R15+R22</f>
        <v>630219.20929414744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6369.4017931448179</v>
      </c>
      <c r="D36" s="718">
        <f ca="1">tertiair!C20</f>
        <v>0</v>
      </c>
      <c r="E36" s="718">
        <f ca="1">tertiair!D20</f>
        <v>7684.53274525704</v>
      </c>
      <c r="F36" s="718">
        <f>tertiair!E20</f>
        <v>120.68547229124127</v>
      </c>
      <c r="G36" s="718">
        <f ca="1">tertiair!F20</f>
        <v>1897.5856970835318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16072.205707776631</v>
      </c>
    </row>
    <row r="37" spans="1:18">
      <c r="A37" s="885" t="s">
        <v>225</v>
      </c>
      <c r="B37" s="892"/>
      <c r="C37" s="718">
        <f ca="1">huishoudens!B12</f>
        <v>9320.7123908588765</v>
      </c>
      <c r="D37" s="718">
        <f ca="1">huishoudens!C12</f>
        <v>0</v>
      </c>
      <c r="E37" s="718">
        <f>huishoudens!D12</f>
        <v>25283.655671275024</v>
      </c>
      <c r="F37" s="718">
        <f>huishoudens!E12</f>
        <v>1159.0260926967635</v>
      </c>
      <c r="G37" s="718">
        <f>huishoudens!F12</f>
        <v>12075.151942307892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47838.546097138555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646.67068262403188</v>
      </c>
      <c r="D39" s="718">
        <f ca="1">industrie!C22</f>
        <v>0</v>
      </c>
      <c r="E39" s="718">
        <f>industrie!D22</f>
        <v>705.38367548244298</v>
      </c>
      <c r="F39" s="718">
        <f>industrie!E22</f>
        <v>96.594286844248117</v>
      </c>
      <c r="G39" s="718">
        <f>industrie!F22</f>
        <v>411.72297449800874</v>
      </c>
      <c r="H39" s="718">
        <f>industrie!G22</f>
        <v>0</v>
      </c>
      <c r="I39" s="718">
        <f>industrie!H22</f>
        <v>0</v>
      </c>
      <c r="J39" s="718">
        <f>industrie!I22</f>
        <v>0</v>
      </c>
      <c r="K39" s="718">
        <f>industrie!J22</f>
        <v>11.449638672771703</v>
      </c>
      <c r="L39" s="718">
        <f>industrie!K22</f>
        <v>0</v>
      </c>
      <c r="M39" s="718">
        <f>industrie!L22</f>
        <v>0</v>
      </c>
      <c r="N39" s="718">
        <f>industrie!M22</f>
        <v>0</v>
      </c>
      <c r="O39" s="718">
        <f>industrie!N22</f>
        <v>0</v>
      </c>
      <c r="P39" s="718">
        <f>industrie!O22</f>
        <v>0</v>
      </c>
      <c r="Q39" s="828">
        <f>industrie!P22</f>
        <v>0</v>
      </c>
      <c r="R39" s="918">
        <f ca="1">SUM(C39:Q39)</f>
        <v>1871.8212581215032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16336.784866627726</v>
      </c>
      <c r="D41" s="763">
        <f t="shared" ref="D41:R41" ca="1" si="4">SUM(D35:D40)</f>
        <v>0</v>
      </c>
      <c r="E41" s="763">
        <f t="shared" ca="1" si="4"/>
        <v>33673.57209201451</v>
      </c>
      <c r="F41" s="763">
        <f t="shared" si="4"/>
        <v>1376.3058518322528</v>
      </c>
      <c r="G41" s="763">
        <f t="shared" ca="1" si="4"/>
        <v>14384.460613889432</v>
      </c>
      <c r="H41" s="763">
        <f t="shared" si="4"/>
        <v>0</v>
      </c>
      <c r="I41" s="763">
        <f t="shared" si="4"/>
        <v>0</v>
      </c>
      <c r="J41" s="763">
        <f t="shared" si="4"/>
        <v>0</v>
      </c>
      <c r="K41" s="763">
        <f t="shared" si="4"/>
        <v>11.449638672771703</v>
      </c>
      <c r="L41" s="763">
        <f t="shared" si="4"/>
        <v>0</v>
      </c>
      <c r="M41" s="763">
        <f t="shared" ca="1" si="4"/>
        <v>0</v>
      </c>
      <c r="N41" s="763">
        <f t="shared" si="4"/>
        <v>0</v>
      </c>
      <c r="O41" s="763">
        <f t="shared" ca="1" si="4"/>
        <v>0</v>
      </c>
      <c r="P41" s="763">
        <f t="shared" si="4"/>
        <v>0</v>
      </c>
      <c r="Q41" s="764">
        <f t="shared" si="4"/>
        <v>0</v>
      </c>
      <c r="R41" s="765">
        <f t="shared" ca="1" si="4"/>
        <v>65782.573063036689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1101.9430767205097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1101.9430767205097</v>
      </c>
    </row>
    <row r="45" spans="1:18" ht="15" thickBot="1">
      <c r="A45" s="888" t="s">
        <v>307</v>
      </c>
      <c r="B45" s="898"/>
      <c r="C45" s="727">
        <f ca="1">transport!B18</f>
        <v>17.651526917392083</v>
      </c>
      <c r="D45" s="727">
        <f>transport!C18</f>
        <v>0</v>
      </c>
      <c r="E45" s="727">
        <f>transport!D18</f>
        <v>37.967452037424174</v>
      </c>
      <c r="F45" s="727">
        <f>transport!E18</f>
        <v>188.63141105842573</v>
      </c>
      <c r="G45" s="727">
        <f>transport!F18</f>
        <v>0</v>
      </c>
      <c r="H45" s="727">
        <f>transport!G18</f>
        <v>63157.215781146944</v>
      </c>
      <c r="I45" s="727">
        <f>transport!H18</f>
        <v>12893.36423689233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76294.830408052512</v>
      </c>
    </row>
    <row r="46" spans="1:18" ht="15.75" thickBot="1">
      <c r="A46" s="886" t="s">
        <v>230</v>
      </c>
      <c r="B46" s="899"/>
      <c r="C46" s="763">
        <f t="shared" ref="C46:R46" ca="1" si="5">SUM(C43:C45)</f>
        <v>17.651526917392083</v>
      </c>
      <c r="D46" s="763">
        <f t="shared" ca="1" si="5"/>
        <v>0</v>
      </c>
      <c r="E46" s="763">
        <f t="shared" si="5"/>
        <v>37.967452037424174</v>
      </c>
      <c r="F46" s="763">
        <f t="shared" si="5"/>
        <v>188.63141105842573</v>
      </c>
      <c r="G46" s="763">
        <f t="shared" si="5"/>
        <v>0</v>
      </c>
      <c r="H46" s="763">
        <f t="shared" si="5"/>
        <v>64259.158857867456</v>
      </c>
      <c r="I46" s="763">
        <f t="shared" si="5"/>
        <v>12893.36423689233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77396.773484773017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111.90544646410875</v>
      </c>
      <c r="D48" s="718">
        <f ca="1">+landbouw!C12</f>
        <v>0</v>
      </c>
      <c r="E48" s="718">
        <f>+landbouw!D12</f>
        <v>1131.1780356009949</v>
      </c>
      <c r="F48" s="718">
        <f>+landbouw!E12</f>
        <v>3.0921358737790041</v>
      </c>
      <c r="G48" s="718">
        <f>+landbouw!F12</f>
        <v>515.54585822487172</v>
      </c>
      <c r="H48" s="718">
        <f>+landbouw!G12</f>
        <v>0</v>
      </c>
      <c r="I48" s="718">
        <f>+landbouw!H12</f>
        <v>0</v>
      </c>
      <c r="J48" s="718">
        <f>+landbouw!I12</f>
        <v>0</v>
      </c>
      <c r="K48" s="718">
        <f>+landbouw!J12</f>
        <v>26.921597405662432</v>
      </c>
      <c r="L48" s="718">
        <f>+landbouw!K12</f>
        <v>0</v>
      </c>
      <c r="M48" s="718">
        <f>+landbouw!L12</f>
        <v>0</v>
      </c>
      <c r="N48" s="718">
        <f>+landbouw!M12</f>
        <v>0</v>
      </c>
      <c r="O48" s="718">
        <f>+landbouw!N12</f>
        <v>0</v>
      </c>
      <c r="P48" s="718">
        <f>+landbouw!O12</f>
        <v>0</v>
      </c>
      <c r="Q48" s="719">
        <f>+landbouw!P12</f>
        <v>0</v>
      </c>
      <c r="R48" s="761">
        <f ca="1">SUM(C48:Q48)</f>
        <v>1788.6430735694166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16466.341840009227</v>
      </c>
      <c r="D53" s="773">
        <f t="shared" ref="D53:Q53" ca="1" si="6">D41+D46+D48</f>
        <v>0</v>
      </c>
      <c r="E53" s="773">
        <f t="shared" ca="1" si="6"/>
        <v>34842.717579652934</v>
      </c>
      <c r="F53" s="773">
        <f t="shared" si="6"/>
        <v>1568.0293987644575</v>
      </c>
      <c r="G53" s="773">
        <f t="shared" ca="1" si="6"/>
        <v>14900.006472114304</v>
      </c>
      <c r="H53" s="773">
        <f t="shared" si="6"/>
        <v>64259.158857867456</v>
      </c>
      <c r="I53" s="773">
        <f t="shared" si="6"/>
        <v>12893.36423689233</v>
      </c>
      <c r="J53" s="773">
        <f t="shared" si="6"/>
        <v>0</v>
      </c>
      <c r="K53" s="773">
        <f t="shared" si="6"/>
        <v>38.371236078434137</v>
      </c>
      <c r="L53" s="773">
        <f t="shared" si="6"/>
        <v>0</v>
      </c>
      <c r="M53" s="773">
        <f t="shared" ca="1" si="6"/>
        <v>0</v>
      </c>
      <c r="N53" s="773">
        <f t="shared" si="6"/>
        <v>0</v>
      </c>
      <c r="O53" s="773">
        <f t="shared" ca="1" si="6"/>
        <v>0</v>
      </c>
      <c r="P53" s="773">
        <f>P41+P46+P48</f>
        <v>0</v>
      </c>
      <c r="Q53" s="774">
        <f t="shared" si="6"/>
        <v>0</v>
      </c>
      <c r="R53" s="775">
        <f ca="1">R41+R46+R48</f>
        <v>144967.98962137915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0.21183864638345795</v>
      </c>
      <c r="D55" s="836">
        <f t="shared" ca="1" si="7"/>
        <v>0</v>
      </c>
      <c r="E55" s="836">
        <f t="shared" ca="1" si="7"/>
        <v>0.20200000000000004</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29.11242603550296</v>
      </c>
      <c r="C65" s="795">
        <f>'lokale energieproductie'!B5</f>
        <v>29.11242603550296</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3193.1381306264425</v>
      </c>
      <c r="C66" s="795">
        <f>'lokale energieproductie'!B6</f>
        <v>3193.1381306264425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3222.2505566619457</v>
      </c>
      <c r="C69" s="803">
        <f>SUM(C64:C68)</f>
        <v>3222.2505566619457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43999.112296002248</v>
      </c>
      <c r="C4" s="478">
        <f>huishoudens!C8</f>
        <v>0</v>
      </c>
      <c r="D4" s="478">
        <f>huishoudens!D8</f>
        <v>125166.61223403476</v>
      </c>
      <c r="E4" s="478">
        <f>huishoudens!E8</f>
        <v>5105.8418180474164</v>
      </c>
      <c r="F4" s="478">
        <f>huishoudens!F8</f>
        <v>45225.288173437795</v>
      </c>
      <c r="G4" s="478">
        <f>huishoudens!G8</f>
        <v>0</v>
      </c>
      <c r="H4" s="478">
        <f>huishoudens!H8</f>
        <v>0</v>
      </c>
      <c r="I4" s="478">
        <f>huishoudens!I8</f>
        <v>0</v>
      </c>
      <c r="J4" s="478">
        <f>huishoudens!J8</f>
        <v>0</v>
      </c>
      <c r="K4" s="478">
        <f>huishoudens!K8</f>
        <v>0</v>
      </c>
      <c r="L4" s="478">
        <f>huishoudens!L8</f>
        <v>0</v>
      </c>
      <c r="M4" s="478">
        <f>huishoudens!M8</f>
        <v>0</v>
      </c>
      <c r="N4" s="478">
        <f>huishoudens!N8</f>
        <v>8622.1731356925993</v>
      </c>
      <c r="O4" s="478">
        <f>huishoudens!O8</f>
        <v>331.42666666666673</v>
      </c>
      <c r="P4" s="479">
        <f>huishoudens!P8</f>
        <v>552.93333333333339</v>
      </c>
      <c r="Q4" s="480">
        <f>SUM(B4:P4)</f>
        <v>229003.38765721483</v>
      </c>
    </row>
    <row r="5" spans="1:17">
      <c r="A5" s="477" t="s">
        <v>156</v>
      </c>
      <c r="B5" s="478">
        <f ca="1">tertiair!B16</f>
        <v>28021.34131046</v>
      </c>
      <c r="C5" s="478">
        <f ca="1">tertiair!C16</f>
        <v>0</v>
      </c>
      <c r="D5" s="478">
        <f ca="1">tertiair!D16</f>
        <v>38042.24131315366</v>
      </c>
      <c r="E5" s="478">
        <f>tertiair!E16</f>
        <v>531.65406295700996</v>
      </c>
      <c r="F5" s="478">
        <f ca="1">tertiair!F16</f>
        <v>7107.0625358933776</v>
      </c>
      <c r="G5" s="478">
        <f>tertiair!G16</f>
        <v>0</v>
      </c>
      <c r="H5" s="478">
        <f>tertiair!H16</f>
        <v>0</v>
      </c>
      <c r="I5" s="478">
        <f>tertiair!I16</f>
        <v>0</v>
      </c>
      <c r="J5" s="478">
        <f>tertiair!J16</f>
        <v>0</v>
      </c>
      <c r="K5" s="478">
        <f>tertiair!K16</f>
        <v>0</v>
      </c>
      <c r="L5" s="478">
        <f ca="1">tertiair!L16</f>
        <v>0</v>
      </c>
      <c r="M5" s="478">
        <f>tertiair!M16</f>
        <v>0</v>
      </c>
      <c r="N5" s="478">
        <f ca="1">tertiair!N16</f>
        <v>4628.9274136023378</v>
      </c>
      <c r="O5" s="478">
        <f>tertiair!O16</f>
        <v>1.5633333333333335</v>
      </c>
      <c r="P5" s="479">
        <f>tertiair!P16</f>
        <v>0</v>
      </c>
      <c r="Q5" s="477">
        <f t="shared" ref="Q5:Q13" ca="1" si="0">SUM(B5:P5)</f>
        <v>78332.789969399731</v>
      </c>
    </row>
    <row r="6" spans="1:17">
      <c r="A6" s="477" t="s">
        <v>194</v>
      </c>
      <c r="B6" s="478">
        <f>'openbare verlichting'!B8</f>
        <v>2045.8910000000001</v>
      </c>
      <c r="C6" s="478"/>
      <c r="D6" s="478"/>
      <c r="E6" s="478"/>
      <c r="F6" s="478"/>
      <c r="G6" s="478"/>
      <c r="H6" s="478"/>
      <c r="I6" s="478"/>
      <c r="J6" s="478"/>
      <c r="K6" s="478"/>
      <c r="L6" s="478"/>
      <c r="M6" s="478"/>
      <c r="N6" s="478"/>
      <c r="O6" s="478"/>
      <c r="P6" s="479"/>
      <c r="Q6" s="477">
        <f t="shared" si="0"/>
        <v>2045.8910000000001</v>
      </c>
    </row>
    <row r="7" spans="1:17">
      <c r="A7" s="477" t="s">
        <v>112</v>
      </c>
      <c r="B7" s="478">
        <f>landbouw!B8</f>
        <v>528.25793770200005</v>
      </c>
      <c r="C7" s="478">
        <f>landbouw!C8</f>
        <v>0</v>
      </c>
      <c r="D7" s="478">
        <f>landbouw!D8</f>
        <v>5599.8912653514599</v>
      </c>
      <c r="E7" s="478">
        <f>landbouw!E8</f>
        <v>13.621743937352441</v>
      </c>
      <c r="F7" s="478">
        <f>landbouw!F8</f>
        <v>1930.8833641380961</v>
      </c>
      <c r="G7" s="478">
        <f>landbouw!G8</f>
        <v>0</v>
      </c>
      <c r="H7" s="478">
        <f>landbouw!H8</f>
        <v>0</v>
      </c>
      <c r="I7" s="478">
        <f>landbouw!I8</f>
        <v>0</v>
      </c>
      <c r="J7" s="478">
        <f>landbouw!J8</f>
        <v>76.0497101854871</v>
      </c>
      <c r="K7" s="478">
        <f>landbouw!K8</f>
        <v>0</v>
      </c>
      <c r="L7" s="478">
        <f>landbouw!L8</f>
        <v>0</v>
      </c>
      <c r="M7" s="478">
        <f>landbouw!M8</f>
        <v>0</v>
      </c>
      <c r="N7" s="478">
        <f>landbouw!N8</f>
        <v>0</v>
      </c>
      <c r="O7" s="478">
        <f>landbouw!O8</f>
        <v>0</v>
      </c>
      <c r="P7" s="479">
        <f>landbouw!P8</f>
        <v>0</v>
      </c>
      <c r="Q7" s="477">
        <f t="shared" si="0"/>
        <v>8148.7040213143955</v>
      </c>
    </row>
    <row r="8" spans="1:17">
      <c r="A8" s="477" t="s">
        <v>638</v>
      </c>
      <c r="B8" s="478">
        <f>industrie!B18</f>
        <v>3052.6567916860004</v>
      </c>
      <c r="C8" s="478">
        <f>industrie!C18</f>
        <v>0</v>
      </c>
      <c r="D8" s="478">
        <f>industrie!D18</f>
        <v>3491.99839347744</v>
      </c>
      <c r="E8" s="478">
        <f>industrie!E18</f>
        <v>425.52549270593886</v>
      </c>
      <c r="F8" s="478">
        <f>industrie!F18</f>
        <v>1542.0336123520926</v>
      </c>
      <c r="G8" s="478">
        <f>industrie!G18</f>
        <v>0</v>
      </c>
      <c r="H8" s="478">
        <f>industrie!H18</f>
        <v>0</v>
      </c>
      <c r="I8" s="478">
        <f>industrie!I18</f>
        <v>0</v>
      </c>
      <c r="J8" s="478">
        <f>industrie!J18</f>
        <v>32.343612069976565</v>
      </c>
      <c r="K8" s="478">
        <f>industrie!K18</f>
        <v>0</v>
      </c>
      <c r="L8" s="478">
        <f>industrie!L18</f>
        <v>0</v>
      </c>
      <c r="M8" s="478">
        <f>industrie!M18</f>
        <v>0</v>
      </c>
      <c r="N8" s="478">
        <f>industrie!N18</f>
        <v>1458.1094400519505</v>
      </c>
      <c r="O8" s="478">
        <f>industrie!O18</f>
        <v>0</v>
      </c>
      <c r="P8" s="479">
        <f>industrie!P18</f>
        <v>0</v>
      </c>
      <c r="Q8" s="477">
        <f t="shared" si="0"/>
        <v>10002.667342343399</v>
      </c>
    </row>
    <row r="9" spans="1:17" s="483" customFormat="1">
      <c r="A9" s="481" t="s">
        <v>564</v>
      </c>
      <c r="B9" s="482">
        <f>transport!B14</f>
        <v>83.325338500512885</v>
      </c>
      <c r="C9" s="482">
        <f>transport!C14</f>
        <v>0</v>
      </c>
      <c r="D9" s="482">
        <f>transport!D14</f>
        <v>187.957683353585</v>
      </c>
      <c r="E9" s="482">
        <f>transport!E14</f>
        <v>830.97537911200754</v>
      </c>
      <c r="F9" s="482">
        <f>transport!F14</f>
        <v>0</v>
      </c>
      <c r="G9" s="482">
        <f>transport!G14</f>
        <v>236543.87933013836</v>
      </c>
      <c r="H9" s="482">
        <f>transport!H14</f>
        <v>51780.579264627835</v>
      </c>
      <c r="I9" s="482">
        <f>transport!I14</f>
        <v>0</v>
      </c>
      <c r="J9" s="482">
        <f>transport!J14</f>
        <v>0</v>
      </c>
      <c r="K9" s="482">
        <f>transport!K14</f>
        <v>0</v>
      </c>
      <c r="L9" s="482">
        <f>transport!L14</f>
        <v>0</v>
      </c>
      <c r="M9" s="482">
        <f>transport!M14</f>
        <v>9003.9104140864474</v>
      </c>
      <c r="N9" s="482">
        <f>transport!N14</f>
        <v>0</v>
      </c>
      <c r="O9" s="482">
        <f>transport!O14</f>
        <v>0</v>
      </c>
      <c r="P9" s="482">
        <f>transport!P14</f>
        <v>0</v>
      </c>
      <c r="Q9" s="481">
        <f>SUM(B9:P9)</f>
        <v>298430.6274098187</v>
      </c>
    </row>
    <row r="10" spans="1:17">
      <c r="A10" s="477" t="s">
        <v>554</v>
      </c>
      <c r="B10" s="478">
        <f>transport!B54</f>
        <v>0</v>
      </c>
      <c r="C10" s="478">
        <f>transport!C54</f>
        <v>0</v>
      </c>
      <c r="D10" s="478">
        <f>transport!D54</f>
        <v>0</v>
      </c>
      <c r="E10" s="478">
        <f>transport!E54</f>
        <v>0</v>
      </c>
      <c r="F10" s="478">
        <f>transport!F54</f>
        <v>0</v>
      </c>
      <c r="G10" s="478">
        <f>transport!G54</f>
        <v>4127.1276281667024</v>
      </c>
      <c r="H10" s="478">
        <f>transport!H54</f>
        <v>0</v>
      </c>
      <c r="I10" s="478">
        <f>transport!I54</f>
        <v>0</v>
      </c>
      <c r="J10" s="478">
        <f>transport!J54</f>
        <v>0</v>
      </c>
      <c r="K10" s="478">
        <f>transport!K54</f>
        <v>0</v>
      </c>
      <c r="L10" s="478">
        <f>transport!L54</f>
        <v>0</v>
      </c>
      <c r="M10" s="478">
        <f>transport!M54</f>
        <v>128.01426588972592</v>
      </c>
      <c r="N10" s="478">
        <f>transport!N54</f>
        <v>0</v>
      </c>
      <c r="O10" s="478">
        <f>transport!O54</f>
        <v>0</v>
      </c>
      <c r="P10" s="479">
        <f>transport!P54</f>
        <v>0</v>
      </c>
      <c r="Q10" s="477">
        <f t="shared" si="0"/>
        <v>4255.1418940564281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77730.584674350757</v>
      </c>
      <c r="C14" s="488">
        <f t="shared" ref="C14:Q14" ca="1" si="1">SUM(C4:C13)</f>
        <v>0</v>
      </c>
      <c r="D14" s="488">
        <f t="shared" ca="1" si="1"/>
        <v>172488.70088937093</v>
      </c>
      <c r="E14" s="488">
        <f t="shared" si="1"/>
        <v>6907.6184967597246</v>
      </c>
      <c r="F14" s="488">
        <f t="shared" ca="1" si="1"/>
        <v>55805.26768582136</v>
      </c>
      <c r="G14" s="488">
        <f t="shared" si="1"/>
        <v>240671.00695830505</v>
      </c>
      <c r="H14" s="488">
        <f t="shared" si="1"/>
        <v>51780.579264627835</v>
      </c>
      <c r="I14" s="488">
        <f t="shared" si="1"/>
        <v>0</v>
      </c>
      <c r="J14" s="488">
        <f t="shared" si="1"/>
        <v>108.39332225546366</v>
      </c>
      <c r="K14" s="488">
        <f t="shared" si="1"/>
        <v>0</v>
      </c>
      <c r="L14" s="488">
        <f t="shared" ca="1" si="1"/>
        <v>0</v>
      </c>
      <c r="M14" s="488">
        <f t="shared" si="1"/>
        <v>9131.9246799761731</v>
      </c>
      <c r="N14" s="488">
        <f t="shared" ca="1" si="1"/>
        <v>14709.209989346888</v>
      </c>
      <c r="O14" s="488">
        <f t="shared" si="1"/>
        <v>332.99000000000007</v>
      </c>
      <c r="P14" s="489">
        <f t="shared" si="1"/>
        <v>552.93333333333339</v>
      </c>
      <c r="Q14" s="489">
        <f t="shared" ca="1" si="1"/>
        <v>630219.20929414756</v>
      </c>
    </row>
    <row r="16" spans="1:17">
      <c r="A16" s="491" t="s">
        <v>559</v>
      </c>
      <c r="B16" s="841">
        <f ca="1">huishoudens!B10</f>
        <v>0.21183864638345795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9320.7123908588765</v>
      </c>
      <c r="C21" s="478">
        <f t="shared" ref="C21:C30" ca="1" si="3">C4*$C$16</f>
        <v>0</v>
      </c>
      <c r="D21" s="478">
        <f t="shared" ref="D21:D30" si="4">D4*$D$16</f>
        <v>25283.655671275024</v>
      </c>
      <c r="E21" s="478">
        <f t="shared" ref="E21:E30" si="5">E4*$E$16</f>
        <v>1159.0260926967635</v>
      </c>
      <c r="F21" s="478">
        <f t="shared" ref="F21:F30" si="6">F4*$F$16</f>
        <v>12075.151942307892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47838.546097138555</v>
      </c>
    </row>
    <row r="22" spans="1:17">
      <c r="A22" s="477" t="s">
        <v>156</v>
      </c>
      <c r="B22" s="478">
        <f t="shared" ca="1" si="2"/>
        <v>5936.0030130567184</v>
      </c>
      <c r="C22" s="478">
        <f t="shared" ca="1" si="3"/>
        <v>0</v>
      </c>
      <c r="D22" s="478">
        <f t="shared" ca="1" si="4"/>
        <v>7684.53274525704</v>
      </c>
      <c r="E22" s="478">
        <f t="shared" si="5"/>
        <v>120.68547229124127</v>
      </c>
      <c r="F22" s="478">
        <f t="shared" ca="1" si="6"/>
        <v>1897.5856970835318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15638.806927688533</v>
      </c>
    </row>
    <row r="23" spans="1:17">
      <c r="A23" s="477" t="s">
        <v>194</v>
      </c>
      <c r="B23" s="478">
        <f t="shared" ca="1" si="2"/>
        <v>433.39878008809922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433.39878008809922</v>
      </c>
    </row>
    <row r="24" spans="1:17">
      <c r="A24" s="477" t="s">
        <v>112</v>
      </c>
      <c r="B24" s="478">
        <f t="shared" ca="1" si="2"/>
        <v>111.90544646410875</v>
      </c>
      <c r="C24" s="478">
        <f t="shared" ca="1" si="3"/>
        <v>0</v>
      </c>
      <c r="D24" s="478">
        <f t="shared" si="4"/>
        <v>1131.1780356009949</v>
      </c>
      <c r="E24" s="478">
        <f t="shared" si="5"/>
        <v>3.0921358737790041</v>
      </c>
      <c r="F24" s="478">
        <f t="shared" si="6"/>
        <v>515.54585822487172</v>
      </c>
      <c r="G24" s="478">
        <f t="shared" si="7"/>
        <v>0</v>
      </c>
      <c r="H24" s="478">
        <f t="shared" si="8"/>
        <v>0</v>
      </c>
      <c r="I24" s="478">
        <f t="shared" si="9"/>
        <v>0</v>
      </c>
      <c r="J24" s="478">
        <f t="shared" si="10"/>
        <v>26.921597405662432</v>
      </c>
      <c r="K24" s="478">
        <f t="shared" si="11"/>
        <v>0</v>
      </c>
      <c r="L24" s="478">
        <f t="shared" si="12"/>
        <v>0</v>
      </c>
      <c r="M24" s="478">
        <f t="shared" si="13"/>
        <v>0</v>
      </c>
      <c r="N24" s="478">
        <f t="shared" si="14"/>
        <v>0</v>
      </c>
      <c r="O24" s="478">
        <f t="shared" si="15"/>
        <v>0</v>
      </c>
      <c r="P24" s="479">
        <f t="shared" si="16"/>
        <v>0</v>
      </c>
      <c r="Q24" s="477">
        <f t="shared" ca="1" si="17"/>
        <v>1788.6430735694166</v>
      </c>
    </row>
    <row r="25" spans="1:17">
      <c r="A25" s="477" t="s">
        <v>638</v>
      </c>
      <c r="B25" s="478">
        <f t="shared" ca="1" si="2"/>
        <v>646.67068262403188</v>
      </c>
      <c r="C25" s="478">
        <f t="shared" ca="1" si="3"/>
        <v>0</v>
      </c>
      <c r="D25" s="478">
        <f t="shared" si="4"/>
        <v>705.38367548244298</v>
      </c>
      <c r="E25" s="478">
        <f t="shared" si="5"/>
        <v>96.594286844248117</v>
      </c>
      <c r="F25" s="478">
        <f t="shared" si="6"/>
        <v>411.72297449800874</v>
      </c>
      <c r="G25" s="478">
        <f t="shared" si="7"/>
        <v>0</v>
      </c>
      <c r="H25" s="478">
        <f t="shared" si="8"/>
        <v>0</v>
      </c>
      <c r="I25" s="478">
        <f t="shared" si="9"/>
        <v>0</v>
      </c>
      <c r="J25" s="478">
        <f t="shared" si="10"/>
        <v>11.449638672771703</v>
      </c>
      <c r="K25" s="478">
        <f t="shared" si="11"/>
        <v>0</v>
      </c>
      <c r="L25" s="478">
        <f t="shared" si="12"/>
        <v>0</v>
      </c>
      <c r="M25" s="478">
        <f t="shared" si="13"/>
        <v>0</v>
      </c>
      <c r="N25" s="478">
        <f t="shared" si="14"/>
        <v>0</v>
      </c>
      <c r="O25" s="478">
        <f t="shared" si="15"/>
        <v>0</v>
      </c>
      <c r="P25" s="479">
        <f t="shared" si="16"/>
        <v>0</v>
      </c>
      <c r="Q25" s="477">
        <f t="shared" ca="1" si="17"/>
        <v>1871.8212581215032</v>
      </c>
    </row>
    <row r="26" spans="1:17" s="483" customFormat="1">
      <c r="A26" s="481" t="s">
        <v>564</v>
      </c>
      <c r="B26" s="835">
        <f t="shared" ca="1" si="2"/>
        <v>17.651526917392083</v>
      </c>
      <c r="C26" s="482">
        <f t="shared" ca="1" si="3"/>
        <v>0</v>
      </c>
      <c r="D26" s="482">
        <f t="shared" si="4"/>
        <v>37.967452037424174</v>
      </c>
      <c r="E26" s="482">
        <f t="shared" si="5"/>
        <v>188.63141105842573</v>
      </c>
      <c r="F26" s="482">
        <f t="shared" si="6"/>
        <v>0</v>
      </c>
      <c r="G26" s="482">
        <f t="shared" si="7"/>
        <v>63157.215781146944</v>
      </c>
      <c r="H26" s="482">
        <f t="shared" si="8"/>
        <v>12893.36423689233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76294.830408052512</v>
      </c>
    </row>
    <row r="27" spans="1:17">
      <c r="A27" s="477" t="s">
        <v>554</v>
      </c>
      <c r="B27" s="478">
        <f t="shared" ca="1" si="2"/>
        <v>0</v>
      </c>
      <c r="C27" s="478">
        <f t="shared" ca="1" si="3"/>
        <v>0</v>
      </c>
      <c r="D27" s="478">
        <f t="shared" si="4"/>
        <v>0</v>
      </c>
      <c r="E27" s="478">
        <f t="shared" si="5"/>
        <v>0</v>
      </c>
      <c r="F27" s="478">
        <f t="shared" si="6"/>
        <v>0</v>
      </c>
      <c r="G27" s="478">
        <f t="shared" si="7"/>
        <v>1101.9430767205097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1101.9430767205097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16466.341840009223</v>
      </c>
      <c r="C31" s="488">
        <f t="shared" ca="1" si="18"/>
        <v>0</v>
      </c>
      <c r="D31" s="488">
        <f t="shared" ca="1" si="18"/>
        <v>34842.717579652934</v>
      </c>
      <c r="E31" s="488">
        <f t="shared" si="18"/>
        <v>1568.0293987644575</v>
      </c>
      <c r="F31" s="488">
        <f t="shared" ca="1" si="18"/>
        <v>14900.006472114304</v>
      </c>
      <c r="G31" s="488">
        <f t="shared" si="18"/>
        <v>64259.158857867456</v>
      </c>
      <c r="H31" s="488">
        <f t="shared" si="18"/>
        <v>12893.36423689233</v>
      </c>
      <c r="I31" s="488">
        <f t="shared" si="18"/>
        <v>0</v>
      </c>
      <c r="J31" s="488">
        <f t="shared" si="18"/>
        <v>38.371236078434137</v>
      </c>
      <c r="K31" s="488">
        <f t="shared" si="18"/>
        <v>0</v>
      </c>
      <c r="L31" s="488">
        <f t="shared" ca="1" si="18"/>
        <v>0</v>
      </c>
      <c r="M31" s="488">
        <f t="shared" si="18"/>
        <v>0</v>
      </c>
      <c r="N31" s="488">
        <f t="shared" ca="1" si="18"/>
        <v>0</v>
      </c>
      <c r="O31" s="488">
        <f t="shared" si="18"/>
        <v>0</v>
      </c>
      <c r="P31" s="489">
        <f t="shared" si="18"/>
        <v>0</v>
      </c>
      <c r="Q31" s="489">
        <f t="shared" ca="1" si="18"/>
        <v>144967.98962137912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0.21183864638345795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0.21183864638345795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0.21183864638345795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2018-06-27T09:41:36Z</dcterms:modified>
</cp:coreProperties>
</file>