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J15"/>
  <c r="F16"/>
  <c r="L16"/>
  <c r="L18" s="1"/>
  <c r="C13" i="15"/>
  <c r="C16" s="1"/>
  <c r="D10" i="14" s="1"/>
  <c r="L6" i="17"/>
  <c r="L5" s="1"/>
  <c r="B8" i="9"/>
  <c r="I8" i="18"/>
  <c r="J68" i="14" s="1"/>
  <c r="I14" i="15"/>
  <c r="I16" s="1"/>
  <c r="J10" i="14" s="1"/>
  <c r="J15" s="1"/>
  <c r="B13" i="16"/>
  <c r="C35"/>
  <c r="E9" i="14"/>
  <c r="D14" i="15"/>
  <c r="P22" i="16"/>
  <c r="Q39" i="14" s="1"/>
  <c r="P18" i="16"/>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E8" i="17"/>
  <c r="F22" i="14" s="1"/>
  <c r="O22" i="16"/>
  <c r="P39" i="14" s="1"/>
  <c r="O18" i="16"/>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E13"/>
  <c r="N7" i="48"/>
  <c r="N24" s="1"/>
  <c r="P41" i="14"/>
  <c r="P53" s="1"/>
  <c r="G14" i="22"/>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J20" i="15"/>
  <c r="K36" i="14" s="1"/>
  <c r="F10"/>
  <c r="J5" i="48"/>
  <c r="J22" s="1"/>
  <c r="E5"/>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K41" i="14"/>
  <c r="K53" s="1"/>
  <c r="K55" s="1"/>
  <c r="N25" i="48"/>
  <c r="N31" s="1"/>
  <c r="N14"/>
  <c r="E25"/>
  <c r="E31" s="1"/>
  <c r="E14"/>
  <c r="K13" i="14"/>
  <c r="K15" s="1"/>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<sst xmlns="http://schemas.openxmlformats.org/spreadsheetml/2006/main" count="1924" uniqueCount="818">
  <si>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</si>
  <si>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</si>
  <si>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</si>
  <si>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</si>
  <si>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</si>
  <si>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</si>
  <si>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</si>
  <si>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</si>
  <si>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</si>
  <si>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</si>
  <si>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</si>
  <si>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</si>
  <si>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</si>
  <si>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</si>
  <si>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</si>
  <si>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</si>
  <si>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</si>
  <si>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</si>
  <si>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</si>
  <si>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</si>
  <si>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</si>
  <si>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</si>
  <si>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</si>
  <si>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</si>
  <si>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</si>
  <si>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</si>
  <si>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</si>
  <si>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</si>
  <si>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</si>
  <si>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</si>
  <si>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</si>
  <si>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</si>
  <si>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</si>
  <si>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</si>
  <si>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</si>
  <si>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</si>
  <si>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</si>
  <si>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</si>
  <si>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</si>
  <si>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</si>
  <si>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</si>
  <si>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</si>
  <si>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</si>
  <si>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</si>
  <si>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</si>
  <si>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</si>
  <si>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</si>
  <si>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</si>
  <si>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</si>
  <si>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</si>
  <si>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</si>
  <si>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</si>
  <si>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</si>
  <si>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</si>
  <si>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</si>
  <si>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</si>
  <si>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</si>
  <si>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</si>
  <si>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</si>
  <si>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</si>
  <si>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</si>
  <si>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</si>
  <si>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</si>
  <si>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</si>
  <si>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</si>
  <si>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</si>
  <si>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</si>
  <si>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</si>
  <si>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</si>
  <si>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</si>
  <si>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</si>
  <si>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</si>
  <si>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</si>
  <si>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</si>
  <si>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</si>
  <si>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</si>
  <si>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</si>
  <si>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</si>
  <si>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</si>
  <si>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</si>
  <si>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</si>
  <si>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</si>
  <si>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</si>
  <si>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</si>
  <si>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</si>
  <si>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</si>
  <si>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</si>
  <si>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</si>
  <si>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</si>
  <si>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</si>
  <si>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</si>
  <si>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</si>
  <si>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</si>
  <si>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</si>
  <si>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</si>
  <si>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</si>
  <si>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</si>
  <si>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</si>
  <si>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</si>
  <si>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</si>
  <si>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</si>
  <si>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</si>
  <si>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</si>
  <si>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</si>
  <si>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</si>
  <si>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</si>
  <si>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</si>
  <si>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</si>
  <si>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</si>
  <si>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</si>
  <si>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</si>
  <si>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</si>
  <si>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</si>
  <si>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</si>
  <si>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</si>
  <si>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</si>
  <si>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</si>
  <si>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</si>
  <si>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</si>
  <si>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</si>
  <si>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</si>
  <si>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</si>
  <si>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</si>
  <si>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</si>
  <si>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</si>
  <si>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</si>
  <si>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</si>
  <si>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</si>
  <si>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</si>
  <si>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</si>
  <si>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</si>
  <si>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</si>
  <si>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</si>
  <si>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</si>
  <si>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</si>
  <si>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</si>
  <si>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</si>
  <si>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</si>
  <si>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</si>
  <si>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</si>
  <si>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</si>
  <si>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</si>
  <si>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</si>
  <si>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</si>
  <si>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</si>
  <si>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</si>
  <si>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</si>
  <si>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</si>
  <si>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</si>
  <si>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</si>
  <si>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</si>
  <si>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</si>
  <si>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</si>
  <si>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</si>
  <si>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</si>
  <si>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</si>
  <si>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</si>
  <si>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</si>
  <si>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</si>
  <si>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</si>
  <si>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</si>
  <si>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</si>
  <si>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</si>
  <si>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</si>
  <si>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</si>
  <si>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</si>
  <si>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</si>
  <si>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</si>
  <si>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</si>
  <si>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</si>
  <si>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</si>
  <si>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</si>
  <si>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</si>
  <si>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</si>
  <si>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</si>
  <si>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</si>
  <si>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</si>
  <si>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</si>
  <si>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</si>
  <si>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</si>
  <si>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</si>
  <si>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</si>
  <si>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</si>
  <si>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</si>
  <si>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</si>
  <si>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</si>
  <si>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</si>
  <si>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</si>
  <si>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</si>
  <si>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</si>
  <si>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</si>
  <si>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</si>
  <si>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</si>
  <si>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</si>
  <si>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</si>
  <si>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</si>
  <si>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</si>
  <si>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</si>
  <si>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</si>
  <si>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</si>
  <si>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</si>
  <si>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</si>
  <si>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</si>
  <si>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</si>
  <si>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</si>
  <si>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</si>
  <si>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</si>
  <si>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</si>
  <si>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</si>
  <si>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</si>
  <si>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</si>
  <si>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</si>
  <si>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</si>
  <si>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</si>
  <si>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</si>
  <si>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</si>
  <si>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</si>
  <si>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</si>
  <si>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</si>
  <si>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</si>
  <si>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</si>
  <si>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</si>
  <si>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</si>
  <si>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</si>
  <si>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</si>
  <si>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</si>
  <si>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</si>
  <si>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</si>
  <si>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</si>
  <si>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</si>
  <si>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</si>
  <si>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</si>
  <si>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</si>
  <si>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</si>
  <si>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</si>
  <si>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</si>
  <si>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</si>
  <si>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</si>
  <si>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</si>
  <si>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</si>
  <si>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</si>
  <si>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</si>
  <si>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</si>
  <si>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</si>
  <si>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</si>
  <si>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</si>
  <si>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</si>
  <si>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</si>
  <si>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</si>
  <si>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</si>
  <si>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</si>
  <si>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</si>
  <si>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</si>
  <si>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</si>
  <si>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</si>
  <si>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</si>
  <si>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</si>
  <si>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</si>
  <si>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</si>
  <si>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</si>
  <si>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</si>
  <si>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</si>
  <si>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</si>
  <si>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</si>
  <si>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</si>
  <si>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</si>
  <si>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</si>
  <si>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</si>
  <si>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</si>
  <si>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</si>
  <si>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</si>
  <si>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</si>
  <si>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</si>
  <si>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</si>
  <si>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</si>
  <si>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</si>
  <si>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</si>
  <si>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</si>
  <si>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</si>
  <si>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</si>
  <si>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</si>
  <si>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</si>
  <si>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</si>
  <si>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</si>
  <si>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</si>
  <si>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</si>
  <si>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</si>
  <si>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</si>
  <si>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</si>
  <si>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</si>
  <si>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</si>
  <si>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</si>
  <si>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</si>
  <si>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</si>
  <si>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</si>
  <si>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</si>
  <si>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</si>
  <si>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</si>
  <si>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</si>
  <si>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</si>
  <si>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</si>
  <si>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</si>
  <si>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</si>
  <si>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</si>
  <si>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</si>
  <si>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</si>
  <si>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</si>
  <si>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</si>
  <si>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</si>
  <si>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</si>
  <si>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</si>
  <si>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</si>
  <si>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</si>
  <si>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</si>
  <si>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</si>
  <si>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</si>
  <si>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</si>
  <si>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</si>
  <si>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</si>
  <si>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</si>
  <si>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</si>
  <si>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</si>
  <si>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</si>
  <si>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</si>
  <si>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</si>
  <si>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</si>
  <si>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</si>
  <si>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</si>
  <si>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</si>
  <si>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</si>
  <si>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</si>
  <si>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</si>
  <si>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</si>
  <si>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</si>
  <si>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</si>
  <si>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</si>
  <si>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</si>
  <si>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</si>
  <si>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</si>
  <si>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</si>
  <si>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</si>
  <si>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</si>
  <si>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</si>
  <si>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</si>
  <si>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</si>
  <si>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</si>
  <si>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</si>
  <si>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</si>
  <si>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</si>
  <si>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</si>
  <si>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</si>
  <si>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</si>
  <si>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</si>
  <si>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</si>
  <si>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</si>
  <si>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</si>
  <si>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</si>
  <si>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</si>
  <si>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</si>
  <si>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</si>
  <si>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</si>
  <si>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</si>
  <si>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</si>
  <si>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</si>
  <si>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</si>
  <si>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</si>
  <si>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</si>
  <si>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</si>
  <si>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</si>
  <si>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</si>
  <si>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</si>
  <si>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</si>
  <si>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</si>
  <si>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</si>
  <si>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</si>
  <si>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</si>
  <si>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</si>
  <si>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</si>
  <si>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</si>
  <si>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</si>
  <si>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</si>
  <si>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</si>
  <si>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</si>
  <si>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</si>
  <si>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</si>
  <si>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</si>
  <si>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</si>
  <si>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</si>
  <si>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</si>
  <si>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</si>
  <si>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</si>
  <si>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</si>
  <si>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</si>
  <si>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</si>
  <si>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</si>
  <si>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</si>
  <si>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</si>
  <si>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</si>
  <si>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</si>
  <si>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</si>
  <si>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</si>
  <si>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</si>
  <si>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</si>
  <si>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</si>
  <si>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</si>
  <si>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</si>
  <si>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</si>
  <si>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</si>
  <si>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</si>
  <si>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</si>
  <si>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</si>
  <si>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</si>
  <si>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</si>
  <si>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</si>
  <si>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</si>
  <si>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</si>
  <si>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</si>
  <si>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</si>
  <si>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</si>
  <si>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</si>
  <si>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</si>
  <si>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</si>
  <si>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</si>
  <si>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</si>
  <si>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</si>
  <si>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</si>
  <si>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</si>
  <si>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</si>
  <si>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</si>
  <si>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</si>
  <si>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</si>
  <si>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</si>
  <si>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</si>
  <si>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</si>
  <si>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</si>
  <si>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</si>
  <si>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</si>
  <si>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</si>
  <si>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</si>
  <si>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</si>
  <si>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</si>
  <si>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</si>
  <si>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</si>
  <si>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</si>
  <si>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</si>
  <si>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</si>
  <si>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</si>
  <si>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</si>
  <si>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</si>
  <si>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</si>
  <si>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</si>
  <si>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</si>
  <si>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</si>
  <si>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</si>
  <si>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</si>
  <si>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</si>
  <si>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</si>
  <si>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</si>
  <si>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</si>
  <si>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</si>
  <si>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</si>
  <si>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</si>
  <si>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</si>
  <si>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</si>
  <si>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</si>
  <si>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</si>
  <si>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</si>
  <si>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</si>
  <si>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</si>
  <si>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</si>
  <si>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</si>
  <si>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</si>
  <si>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</si>
  <si>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</si>
  <si>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</si>
  <si>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</si>
  <si>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</si>
  <si>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</si>
  <si>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</si>
  <si>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</si>
  <si>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</si>
  <si>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</si>
  <si>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</si>
  <si>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</si>
  <si>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</si>
  <si>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</si>
  <si>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</si>
  <si>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</si>
  <si>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</si>
  <si>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</si>
  <si>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</si>
  <si>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</si>
  <si>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</si>
  <si>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</si>
  <si>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</si>
  <si>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</si>
  <si>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</si>
  <si>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</si>
  <si>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</si>
  <si>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</si>
  <si>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</si>
  <si>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</si>
  <si>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</si>
  <si>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</si>
  <si>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</si>
  <si>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</si>
  <si>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</si>
  <si>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</si>
  <si>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</si>
  <si>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</si>
  <si>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</si>
  <si>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</si>
  <si>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</si>
  <si>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</si>
  <si>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</si>
  <si>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</si>
  <si>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</si>
  <si>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</si>
  <si>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</si>
  <si>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</si>
  <si>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</si>
  <si>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</si>
  <si>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</si>
  <si>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</si>
  <si>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</si>
  <si>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</si>
  <si>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</si>
  <si>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</si>
  <si>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</si>
  <si>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</si>
  <si>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</si>
  <si>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</si>
  <si>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</si>
  <si>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</si>
  <si>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</si>
  <si>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</si>
  <si>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</si>
  <si>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</si>
  <si>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</si>
  <si>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</si>
  <si>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</si>
  <si>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</si>
  <si>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</si>
  <si>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</si>
  <si>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</si>
  <si>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</si>
  <si>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</si>
  <si>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</si>
  <si>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</si>
  <si>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</si>
  <si>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</si>
  <si>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</si>
  <si>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</si>
  <si>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</si>
  <si>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</si>
  <si>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</si>
  <si>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</si>
  <si>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</si>
  <si>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</si>
  <si>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</si>
  <si>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</si>
  <si>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</si>
  <si>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</si>
  <si>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</si>
  <si>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</si>
  <si>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</si>
  <si>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</si>
  <si>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</si>
  <si>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</si>
  <si>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</si>
  <si>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</si>
  <si>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</si>
  <si>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</si>
  <si>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</si>
  <si>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</si>
  <si>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</si>
  <si>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</si>
  <si>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</si>
  <si>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</si>
  <si>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</si>
  <si>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</si>
  <si>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</si>
  <si>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</si>
  <si>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</si>
  <si>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</si>
  <si>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</si>
  <si>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</si>
  <si>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</si>
  <si>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</si>
  <si>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</si>
  <si>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</si>
  <si>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</si>
  <si>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</si>
  <si>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</si>
  <si>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</si>
  <si>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</si>
  <si>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</si>
  <si>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</si>
  <si>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</si>
  <si>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</si>
  <si>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</si>
  <si>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</si>
  <si>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</si>
  <si>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</si>
  <si>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</si>
  <si>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</si>
  <si>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</si>
  <si>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</si>
  <si>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</si>
  <si>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</si>
  <si>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</si>
  <si>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</si>
  <si>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</si>
  <si>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</si>
  <si>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</si>
  <si>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</si>
  <si>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</si>
  <si>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</si>
  <si>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</si>
  <si>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</si>
  <si>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</si>
  <si>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</si>
  <si>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</si>
  <si>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</si>
  <si>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</si>
  <si>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</si>
  <si>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</si>
  <si>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</si>
  <si>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</si>
  <si>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</si>
  <si>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</si>
  <si>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</si>
  <si>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</si>
  <si>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</si>
  <si>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</si>
  <si>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</si>
  <si>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</si>
  <si>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</si>
  <si>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</si>
  <si>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</si>
  <si>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</si>
  <si>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</si>
  <si>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</si>
  <si>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</si>
  <si>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</si>
  <si>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</si>
  <si>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</si>
  <si>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</si>
  <si>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</si>
  <si>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</si>
  <si>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</si>
  <si>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</si>
  <si>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</si>
  <si>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</si>
  <si>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</si>
  <si>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</si>
  <si>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</si>
  <si>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</si>
  <si>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</si>
  <si>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</si>
  <si>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</si>
  <si>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</si>
  <si>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</si>
  <si>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</si>
  <si>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</si>
  <si>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</si>
  <si>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</si>
  <si>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</si>
  <si>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</si>
  <si>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</si>
  <si>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</si>
  <si>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</si>
  <si>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</si>
  <si>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</si>
  <si>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</si>
  <si>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</si>
  <si>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</si>
  <si>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</si>
  <si>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</si>
  <si>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</si>
  <si>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</si>
  <si>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</si>
  <si>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</si>
  <si>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</si>
  <si>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</si>
  <si>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</si>
  <si>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</si>
  <si>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</si>
  <si>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</si>
  <si>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</si>
  <si>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</si>
  <si>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</si>
  <si>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</si>
  <si>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</si>
  <si>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</si>
  <si>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</si>
  <si>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</si>
  <si>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</si>
  <si>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</si>
  <si>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</si>
  <si>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</si>
  <si>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</si>
  <si>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</si>
  <si>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</si>
  <si>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</si>
  <si>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</si>
  <si>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</si>
  <si>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</si>
  <si>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</si>
  <si>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</si>
  <si>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</si>
  <si>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</si>
  <si>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</si>
  <si>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</si>
  <si>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</si>
  <si>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</si>
  <si>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</si>
  <si>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</si>
  <si>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</si>
  <si>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</si>
  <si>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</si>
  <si>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</si>
  <si>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</si>
  <si>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</si>
  <si>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</si>
  <si>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</si>
  <si>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</si>
  <si>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</si>
  <si>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</si>
  <si>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</si>
  <si>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</si>
  <si>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</si>
  <si>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</si>
  <si>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</si>
  <si>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</si>
  <si>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</si>
  <si>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</si>
  <si>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</si>
  <si>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</si>
  <si>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</si>
  <si>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</si>
  <si>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</si>
  <si>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</si>
  <si>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</si>
  <si>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</si>
  <si>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</si>
  <si>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</si>
  <si>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</si>
  <si>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</si>
  <si>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</si>
  <si>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</si>
  <si>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</si>
  <si>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</si>
  <si>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</si>
  <si>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</si>
  <si>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</si>
  <si>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</si>
  <si>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</si>
  <si>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</si>
  <si>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</si>
  <si>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</si>
  <si>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</si>
  <si>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</si>
  <si>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</si>
  <si>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</si>
  <si>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</si>
  <si>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</si>
  <si>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</si>
  <si>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</si>
  <si>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</si>
  <si>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</si>
  <si>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</si>
  <si>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</si>
  <si>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</si>
  <si>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</si>
  <si>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</si>
  <si>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</si>
  <si>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</si>
  <si>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</si>
  <si>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</si>
  <si>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</si>
  <si>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</si>
  <si>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</si>
  <si>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</si>
  <si>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</si>
  <si>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</si>
  <si>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</si>
  <si>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</si>
  <si>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</si>
  <si>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</si>
  <si>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</si>
  <si>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</si>
  <si>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</si>
  <si>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</si>
  <si>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</si>
  <si>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</si>
  <si>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</si>
  <si>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</si>
  <si>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</si>
  <si>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</si>
  <si>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</si>
  <si>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</si>
  <si>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</si>
  <si>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</si>
  <si>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</si>
  <si>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</si>
  <si>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</si>
  <si>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</si>
  <si>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</si>
  <si>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</si>
  <si>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23033</t>
  </si>
  <si>
    <t>HOEILAART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</si>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</sst>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94526.120042332754</c:v>
                </c:pt>
                <c:pt idx="1">
                  <c:v>28752.108399395576</c:v>
                </c:pt>
                <c:pt idx="2">
                  <c:v>718.09199999999998</c:v>
                </c:pt>
                <c:pt idx="3">
                  <c:v>1559.6576621167792</c:v>
                </c:pt>
                <c:pt idx="4">
                  <c:v>2933.15734395965</c:v>
                </c:pt>
                <c:pt idx="5">
                  <c:v>195622.49336883752</c:v>
                </c:pt>
                <c:pt idx="6">
                  <c:v>1191.6019916872324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94526.120042332754</c:v>
                </c:pt>
                <c:pt idx="1">
                  <c:v>28752.108399395576</c:v>
                </c:pt>
                <c:pt idx="2">
                  <c:v>718.09199999999998</c:v>
                </c:pt>
                <c:pt idx="3">
                  <c:v>1559.6576621167792</c:v>
                </c:pt>
                <c:pt idx="4">
                  <c:v>2933.15734395965</c:v>
                </c:pt>
                <c:pt idx="5">
                  <c:v>195622.49336883752</c:v>
                </c:pt>
                <c:pt idx="6">
                  <c:v>1191.6019916872324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18806.742354359332</c:v>
                </c:pt>
                <c:pt idx="1">
                  <c:v>5820.9983828348086</c:v>
                </c:pt>
                <c:pt idx="2">
                  <c:v>152.31156978763494</c:v>
                </c:pt>
                <c:pt idx="3">
                  <c:v>336.20677759339964</c:v>
                </c:pt>
                <c:pt idx="4">
                  <c:v>566.92820817319364</c:v>
                </c:pt>
                <c:pt idx="5">
                  <c:v>50017.640373814684</c:v>
                </c:pt>
                <c:pt idx="6">
                  <c:v>308.58608188371335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03264"/>
      </c:barChart>
      <c:catAx>
        <c:axId val="183286784"/>
        <c:scaling>
          <c:orientation val="minMax"/>
        </c:scaling>
        <c:axPos val="b"/>
        <c:numFmt formatCode="General" sourceLinked="0"/>
        <c:tickLblPos val="nextTo"/>
        <c:crossAx val="183403264"/>
        <c:crosses val="autoZero"/>
        <c:auto val="1"/>
        <c:lblAlgn val="ctr"/>
        <c:lblOffset val="100"/>
      </c:catAx>
      <c:valAx>
        <c:axId val="183403264"/>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18806.742354359332</c:v>
                </c:pt>
                <c:pt idx="1">
                  <c:v>5820.9983828348086</c:v>
                </c:pt>
                <c:pt idx="2">
                  <c:v>152.31156978763494</c:v>
                </c:pt>
                <c:pt idx="3">
                  <c:v>336.20677759339964</c:v>
                </c:pt>
                <c:pt idx="4">
                  <c:v>566.92820817319364</c:v>
                </c:pt>
                <c:pt idx="5">
                  <c:v>50017.640373814684</c:v>
                </c:pt>
                <c:pt idx="6">
                  <c:v>308.58608188371335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23033</v>
      </c>
      <c r="B6" s="415"/>
      <c r="C6" s="416"/>
    </row>
    <row r="7" spans="1:7" s="413" customFormat="1" ht="15.75" customHeight="1">
      <c r="A7" s="417" t="str">
        <f>txtMunicipality</f>
        <v>HOEILAART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10126.933617347</v>
      </c>
      <c r="D10" s="718">
        <f ca="1">tertiair!C16</f>
        <v>0</v>
      </c>
      <c r="E10" s="718">
        <f ca="1">tertiair!D16</f>
        <v>15645.753782922999</v>
      </c>
      <c r="F10" s="718">
        <f>tertiair!E16</f>
        <v>159.02992387451664</v>
      </c>
      <c r="G10" s="718">
        <f ca="1">tertiair!F16</f>
        <v>2355.0009241270359</v>
      </c>
      <c r="H10" s="718">
        <f>tertiair!G16</f>
        <v>0</v>
      </c>
      <c r="I10" s="718">
        <f>tertiair!H16</f>
        <v>0</v>
      </c>
      <c r="J10" s="718">
        <f>tertiair!I16</f>
        <v>0</v>
      </c>
      <c r="K10" s="718">
        <f>tertiair!J16</f>
        <v>0</v>
      </c>
      <c r="L10" s="718">
        <f>tertiair!K16</f>
        <v>0</v>
      </c>
      <c r="M10" s="718">
        <f ca="1">tertiair!L16</f>
        <v>0</v>
      </c>
      <c r="N10" s="718">
        <f>tertiair!M16</f>
        <v>0</v>
      </c>
      <c r="O10" s="718">
        <f ca="1">tertiair!N16</f>
        <v>1143.7854844573578</v>
      </c>
      <c r="P10" s="718">
        <f>tertiair!O16</f>
        <v>1.5633333333333335</v>
      </c>
      <c r="Q10" s="719">
        <f>tertiair!P16</f>
        <v>38.133333333333333</v>
      </c>
      <c r="R10" s="721">
        <f ca="1">SUM(C10:Q10)</f>
        <v>29470.200399395577</v>
      </c>
      <c r="S10" s="67"/>
    </row>
    <row r="11" spans="1:19" s="474" customFormat="1">
      <c r="A11" s="870" t="s">
        <v>225</v>
      </c>
      <c r="B11" s="875"/>
      <c r="C11" s="718">
        <f>huishoudens!B8</f>
        <v>18062.304301303815</v>
      </c>
      <c r="D11" s="718">
        <f>huishoudens!C8</f>
        <v>0</v>
      </c>
      <c r="E11" s="718">
        <f>huishoudens!D8</f>
        <v>55999.913415028001</v>
      </c>
      <c r="F11" s="718">
        <f>huishoudens!E8</f>
        <v>1789.256527840565</v>
      </c>
      <c r="G11" s="718">
        <f>huishoudens!F8</f>
        <v>12200.287654086347</v>
      </c>
      <c r="H11" s="718">
        <f>huishoudens!G8</f>
        <v>0</v>
      </c>
      <c r="I11" s="718">
        <f>huishoudens!H8</f>
        <v>0</v>
      </c>
      <c r="J11" s="718">
        <f>huishoudens!I8</f>
        <v>0</v>
      </c>
      <c r="K11" s="718">
        <f>huishoudens!J8</f>
        <v>0</v>
      </c>
      <c r="L11" s="718">
        <f>huishoudens!K8</f>
        <v>0</v>
      </c>
      <c r="M11" s="718">
        <f>huishoudens!L8</f>
        <v>0</v>
      </c>
      <c r="N11" s="718">
        <f>huishoudens!M8</f>
        <v>0</v>
      </c>
      <c r="O11" s="718">
        <f>huishoudens!N8</f>
        <v>6022.6448107406877</v>
      </c>
      <c r="P11" s="718">
        <f>huishoudens!O8</f>
        <v>165.71333333333337</v>
      </c>
      <c r="Q11" s="719">
        <f>huishoudens!P8</f>
        <v>286</v>
      </c>
      <c r="R11" s="721">
        <f>SUM(C11:Q11)</f>
        <v>94526.120042332754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708.79537782199998</v>
      </c>
      <c r="D13" s="718">
        <f>industrie!C18</f>
        <v>0</v>
      </c>
      <c r="E13" s="718">
        <f>industrie!D18</f>
        <v>1452.6325281305201</v>
      </c>
      <c r="F13" s="718">
        <f>industrie!E18</f>
        <v>98.676031246466337</v>
      </c>
      <c r="G13" s="718">
        <f>industrie!F18</f>
        <v>368.63384299716643</v>
      </c>
      <c r="H13" s="718">
        <f>industrie!G18</f>
        <v>0</v>
      </c>
      <c r="I13" s="718">
        <f>industrie!H18</f>
        <v>0</v>
      </c>
      <c r="J13" s="718">
        <f>industrie!I18</f>
        <v>0</v>
      </c>
      <c r="K13" s="718">
        <f>industrie!J18</f>
        <v>6.5876870083161165</v>
      </c>
      <c r="L13" s="718">
        <f>industrie!K18</f>
        <v>0</v>
      </c>
      <c r="M13" s="718">
        <f>industrie!L18</f>
        <v>0</v>
      </c>
      <c r="N13" s="718">
        <f>industrie!M18</f>
        <v>0</v>
      </c>
      <c r="O13" s="718">
        <f>industrie!N18</f>
        <v>297.83187675518099</v>
      </c>
      <c r="P13" s="718">
        <f>industrie!O18</f>
        <v>0</v>
      </c>
      <c r="Q13" s="719">
        <f>industrie!P18</f>
        <v>0</v>
      </c>
      <c r="R13" s="721">
        <f>SUM(C13:Q13)</f>
        <v>2933.15734395965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28898.033296472815</v>
      </c>
      <c r="D15" s="723">
        <f t="shared" ref="D15:Q15" ca="1" si="0">SUM(D9:D14)</f>
        <v>0</v>
      </c>
      <c r="E15" s="723">
        <f t="shared" ca="1" si="0"/>
        <v>73098.299726081517</v>
      </c>
      <c r="F15" s="723">
        <f t="shared" si="0"/>
        <v>2046.9624829615482</v>
      </c>
      <c r="G15" s="723">
        <f t="shared" ca="1" si="0"/>
        <v>14923.922421210549</v>
      </c>
      <c r="H15" s="723">
        <f t="shared" si="0"/>
        <v>0</v>
      </c>
      <c r="I15" s="723">
        <f t="shared" si="0"/>
        <v>0</v>
      </c>
      <c r="J15" s="723">
        <f t="shared" si="0"/>
        <v>0</v>
      </c>
      <c r="K15" s="723">
        <f t="shared" si="0"/>
        <v>6.5876870083161165</v>
      </c>
      <c r="L15" s="723">
        <f t="shared" si="0"/>
        <v>0</v>
      </c>
      <c r="M15" s="723">
        <f t="shared" ca="1" si="0"/>
        <v>0</v>
      </c>
      <c r="N15" s="723">
        <f t="shared" si="0"/>
        <v>0</v>
      </c>
      <c r="O15" s="723">
        <f t="shared" ca="1" si="0"/>
        <v>7464.2621719532262</v>
      </c>
      <c r="P15" s="723">
        <f t="shared" si="0"/>
        <v>167.2766666666667</v>
      </c>
      <c r="Q15" s="724">
        <f t="shared" si="0"/>
        <v>324.13333333333333</v>
      </c>
      <c r="R15" s="725">
        <f ca="1">SUM(R9:R14)</f>
        <v>126929.47778568798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1155.7531156693383</v>
      </c>
      <c r="I18" s="718">
        <f>transport!H54</f>
        <v>0</v>
      </c>
      <c r="J18" s="718">
        <f>transport!I54</f>
        <v>0</v>
      </c>
      <c r="K18" s="718">
        <f>transport!J54</f>
        <v>0</v>
      </c>
      <c r="L18" s="718">
        <f>transport!K54</f>
        <v>0</v>
      </c>
      <c r="M18" s="718">
        <f>transport!L54</f>
        <v>0</v>
      </c>
      <c r="N18" s="718">
        <f>transport!M54</f>
        <v>35.848876017894199</v>
      </c>
      <c r="O18" s="718">
        <f>transport!N54</f>
        <v>0</v>
      </c>
      <c r="P18" s="718">
        <f>transport!O54</f>
        <v>0</v>
      </c>
      <c r="Q18" s="719">
        <f>transport!P54</f>
        <v>0</v>
      </c>
      <c r="R18" s="721">
        <f>SUM(C18:Q18)</f>
        <v>1191.6019916872324</v>
      </c>
      <c r="S18" s="67"/>
    </row>
    <row r="19" spans="1:19" s="474" customFormat="1" ht="15" thickBot="1">
      <c r="A19" s="870" t="s">
        <v>307</v>
      </c>
      <c r="B19" s="875"/>
      <c r="C19" s="727">
        <f>transport!B14</f>
        <v>52.784196435614426</v>
      </c>
      <c r="D19" s="727">
        <f>transport!C14</f>
        <v>0</v>
      </c>
      <c r="E19" s="727">
        <f>transport!D14</f>
        <v>121.70142193270161</v>
      </c>
      <c r="F19" s="727">
        <f>transport!E14</f>
        <v>546.39262982720027</v>
      </c>
      <c r="G19" s="727">
        <f>transport!F14</f>
        <v>0</v>
      </c>
      <c r="H19" s="727">
        <f>transport!G14</f>
        <v>155393.64140512605</v>
      </c>
      <c r="I19" s="727">
        <f>transport!H14</f>
        <v>33605.331178696302</v>
      </c>
      <c r="J19" s="727">
        <f>transport!I14</f>
        <v>0</v>
      </c>
      <c r="K19" s="727">
        <f>transport!J14</f>
        <v>0</v>
      </c>
      <c r="L19" s="727">
        <f>transport!K14</f>
        <v>0</v>
      </c>
      <c r="M19" s="727">
        <f>transport!L14</f>
        <v>0</v>
      </c>
      <c r="N19" s="727">
        <f>transport!M14</f>
        <v>5902.6425368196569</v>
      </c>
      <c r="O19" s="727">
        <f>transport!N14</f>
        <v>0</v>
      </c>
      <c r="P19" s="727">
        <f>transport!O14</f>
        <v>0</v>
      </c>
      <c r="Q19" s="728">
        <f>transport!P14</f>
        <v>0</v>
      </c>
      <c r="R19" s="729">
        <f>SUM(C19:Q19)</f>
        <v>195622.49336883752</v>
      </c>
      <c r="S19" s="67"/>
    </row>
    <row r="20" spans="1:19" s="474" customFormat="1" ht="15.75" thickBot="1">
      <c r="A20" s="730" t="s">
        <v>230</v>
      </c>
      <c r="B20" s="878"/>
      <c r="C20" s="873">
        <f>SUM(C17:C19)</f>
        <v>52.784196435614426</v>
      </c>
      <c r="D20" s="731">
        <f t="shared" ref="D20:R20" si="1">SUM(D17:D19)</f>
        <v>0</v>
      </c>
      <c r="E20" s="731">
        <f t="shared" si="1"/>
        <v>121.70142193270161</v>
      </c>
      <c r="F20" s="731">
        <f t="shared" si="1"/>
        <v>546.39262982720027</v>
      </c>
      <c r="G20" s="731">
        <f t="shared" si="1"/>
        <v>0</v>
      </c>
      <c r="H20" s="731">
        <f t="shared" si="1"/>
        <v>156549.39452079538</v>
      </c>
      <c r="I20" s="731">
        <f t="shared" si="1"/>
        <v>33605.331178696302</v>
      </c>
      <c r="J20" s="731">
        <f t="shared" si="1"/>
        <v>0</v>
      </c>
      <c r="K20" s="731">
        <f t="shared" si="1"/>
        <v>0</v>
      </c>
      <c r="L20" s="731">
        <f t="shared" si="1"/>
        <v>0</v>
      </c>
      <c r="M20" s="731">
        <f t="shared" si="1"/>
        <v>0</v>
      </c>
      <c r="N20" s="731">
        <f t="shared" si="1"/>
        <v>5938.4914128375513</v>
      </c>
      <c r="O20" s="731">
        <f t="shared" si="1"/>
        <v>0</v>
      </c>
      <c r="P20" s="731">
        <f t="shared" si="1"/>
        <v>0</v>
      </c>
      <c r="Q20" s="732">
        <f t="shared" si="1"/>
        <v>0</v>
      </c>
      <c r="R20" s="733">
        <f t="shared" si="1"/>
        <v>196814.09536052475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78.291395817999984</v>
      </c>
      <c r="D22" s="727">
        <f>+landbouw!C8</f>
        <v>0</v>
      </c>
      <c r="E22" s="727">
        <f>+landbouw!D8</f>
        <v>1181.906389298932</v>
      </c>
      <c r="F22" s="727">
        <f>+landbouw!E8</f>
        <v>2.0188344939405609</v>
      </c>
      <c r="G22" s="727">
        <f>+landbouw!F8</f>
        <v>286.16996158684452</v>
      </c>
      <c r="H22" s="727">
        <f>+landbouw!G8</f>
        <v>0</v>
      </c>
      <c r="I22" s="727">
        <f>+landbouw!H8</f>
        <v>0</v>
      </c>
      <c r="J22" s="727">
        <f>+landbouw!I8</f>
        <v>0</v>
      </c>
      <c r="K22" s="727">
        <f>+landbouw!J8</f>
        <v>11.271080919062189</v>
      </c>
      <c r="L22" s="727">
        <f>+landbouw!K8</f>
        <v>0</v>
      </c>
      <c r="M22" s="727">
        <f>+landbouw!L8</f>
        <v>0</v>
      </c>
      <c r="N22" s="727">
        <f>+landbouw!M8</f>
        <v>0</v>
      </c>
      <c r="O22" s="727">
        <f>+landbouw!N8</f>
        <v>0</v>
      </c>
      <c r="P22" s="727">
        <f>+landbouw!O8</f>
        <v>0</v>
      </c>
      <c r="Q22" s="728">
        <f>+landbouw!P8</f>
        <v>0</v>
      </c>
      <c r="R22" s="729">
        <f>SUM(C22:Q22)</f>
        <v>1559.6576621167792</v>
      </c>
      <c r="S22" s="67"/>
    </row>
    <row r="23" spans="1:19" s="474" customFormat="1" ht="17.25" thickTop="1" thickBot="1">
      <c r="A23" s="734" t="s">
        <v>116</v>
      </c>
      <c r="B23" s="864"/>
      <c r="C23" s="735">
        <f ca="1">C20+C15+C22</f>
        <v>29029.10888872643</v>
      </c>
      <c r="D23" s="735">
        <f t="shared" ref="D23:Q23" ca="1" si="2">D20+D15+D22</f>
        <v>0</v>
      </c>
      <c r="E23" s="735">
        <f t="shared" ca="1" si="2"/>
        <v>74401.907537313149</v>
      </c>
      <c r="F23" s="735">
        <f t="shared" si="2"/>
        <v>2595.3739472826892</v>
      </c>
      <c r="G23" s="735">
        <f t="shared" ca="1" si="2"/>
        <v>15210.092382797393</v>
      </c>
      <c r="H23" s="735">
        <f t="shared" si="2"/>
        <v>156549.39452079538</v>
      </c>
      <c r="I23" s="735">
        <f t="shared" si="2"/>
        <v>33605.331178696302</v>
      </c>
      <c r="J23" s="735">
        <f t="shared" si="2"/>
        <v>0</v>
      </c>
      <c r="K23" s="735">
        <f t="shared" si="2"/>
        <v>17.858767927378306</v>
      </c>
      <c r="L23" s="735">
        <f t="shared" si="2"/>
        <v>0</v>
      </c>
      <c r="M23" s="735">
        <f t="shared" ca="1" si="2"/>
        <v>0</v>
      </c>
      <c r="N23" s="735">
        <f t="shared" si="2"/>
        <v>5938.4914128375513</v>
      </c>
      <c r="O23" s="735">
        <f t="shared" ca="1" si="2"/>
        <v>7464.2621719532262</v>
      </c>
      <c r="P23" s="735">
        <f t="shared" si="2"/>
        <v>167.2766666666667</v>
      </c>
      <c r="Q23" s="736">
        <f t="shared" si="2"/>
        <v>324.13333333333333</v>
      </c>
      <c r="R23" s="737">
        <f ca="1">R20+R15+R22</f>
        <v>325303.23080832954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2147.9826490105638</v>
      </c>
      <c r="D36" s="718">
        <f ca="1">tertiair!C20</f>
        <v>0</v>
      </c>
      <c r="E36" s="718">
        <f ca="1">tertiair!D20</f>
        <v>3160.4422641504461</v>
      </c>
      <c r="F36" s="718">
        <f>tertiair!E20</f>
        <v>36.099792719515278</v>
      </c>
      <c r="G36" s="718">
        <f ca="1">tertiair!F20</f>
        <v>628.78524674191863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5973.3099526224441</v>
      </c>
    </row>
    <row r="37" spans="1:18">
      <c r="A37" s="885" t="s">
        <v>225</v>
      </c>
      <c r="B37" s="892"/>
      <c r="C37" s="718">
        <f ca="1">huishoudens!B12</f>
        <v>3831.1218090628149</v>
      </c>
      <c r="D37" s="718">
        <f ca="1">huishoudens!C12</f>
        <v>0</v>
      </c>
      <c r="E37" s="718">
        <f>huishoudens!D12</f>
        <v>11311.982509835656</v>
      </c>
      <c r="F37" s="718">
        <f>huishoudens!E12</f>
        <v>406.16123181980828</v>
      </c>
      <c r="G37" s="718">
        <f>huishoudens!F12</f>
        <v>3257.4768036410551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18806.742354359332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150.33970111669345</v>
      </c>
      <c r="D39" s="718">
        <f ca="1">industrie!C22</f>
        <v>0</v>
      </c>
      <c r="E39" s="718">
        <f>industrie!D22</f>
        <v>293.43177068236508</v>
      </c>
      <c r="F39" s="718">
        <f>industrie!E22</f>
        <v>22.399459092947858</v>
      </c>
      <c r="G39" s="718">
        <f>industrie!F22</f>
        <v>98.425236080243437</v>
      </c>
      <c r="H39" s="718">
        <f>industrie!G22</f>
        <v>0</v>
      </c>
      <c r="I39" s="718">
        <f>industrie!H22</f>
        <v>0</v>
      </c>
      <c r="J39" s="718">
        <f>industrie!I22</f>
        <v>0</v>
      </c>
      <c r="K39" s="718">
        <f>industrie!J22</f>
        <v>2.3320412009439053</v>
      </c>
      <c r="L39" s="718">
        <f>industrie!K22</f>
        <v>0</v>
      </c>
      <c r="M39" s="718">
        <f>industrie!L22</f>
        <v>0</v>
      </c>
      <c r="N39" s="718">
        <f>industrie!M22</f>
        <v>0</v>
      </c>
      <c r="O39" s="718">
        <f>industrie!N22</f>
        <v>0</v>
      </c>
      <c r="P39" s="718">
        <f>industrie!O22</f>
        <v>0</v>
      </c>
      <c r="Q39" s="828">
        <f>industrie!P22</f>
        <v>0</v>
      </c>
      <c r="R39" s="918">
        <f ca="1">SUM(C39:Q39)</f>
        <v>566.92820817319364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6129.4441591900722</v>
      </c>
      <c r="D41" s="763">
        <f t="shared" ref="D41:R41" ca="1" si="4">SUM(D35:D40)</f>
        <v>0</v>
      </c>
      <c r="E41" s="763">
        <f t="shared" ca="1" si="4"/>
        <v>14765.856544668468</v>
      </c>
      <c r="F41" s="763">
        <f t="shared" si="4"/>
        <v>464.66048363227139</v>
      </c>
      <c r="G41" s="763">
        <f t="shared" ca="1" si="4"/>
        <v>3984.6872864632173</v>
      </c>
      <c r="H41" s="763">
        <f t="shared" si="4"/>
        <v>0</v>
      </c>
      <c r="I41" s="763">
        <f t="shared" si="4"/>
        <v>0</v>
      </c>
      <c r="J41" s="763">
        <f t="shared" si="4"/>
        <v>0</v>
      </c>
      <c r="K41" s="763">
        <f t="shared" si="4"/>
        <v>2.3320412009439053</v>
      </c>
      <c r="L41" s="763">
        <f t="shared" si="4"/>
        <v>0</v>
      </c>
      <c r="M41" s="763">
        <f t="shared" ca="1" si="4"/>
        <v>0</v>
      </c>
      <c r="N41" s="763">
        <f t="shared" si="4"/>
        <v>0</v>
      </c>
      <c r="O41" s="763">
        <f t="shared" ca="1" si="4"/>
        <v>0</v>
      </c>
      <c r="P41" s="763">
        <f t="shared" si="4"/>
        <v>0</v>
      </c>
      <c r="Q41" s="764">
        <f t="shared" si="4"/>
        <v>0</v>
      </c>
      <c r="R41" s="765">
        <f t="shared" ca="1" si="4"/>
        <v>25346.98051515497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308.58608188371335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308.58608188371335</v>
      </c>
    </row>
    <row r="45" spans="1:18" ht="15" thickBot="1">
      <c r="A45" s="888" t="s">
        <v>307</v>
      </c>
      <c r="B45" s="898"/>
      <c r="C45" s="727">
        <f ca="1">transport!B18</f>
        <v>11.195840949470707</v>
      </c>
      <c r="D45" s="727">
        <f>transport!C18</f>
        <v>0</v>
      </c>
      <c r="E45" s="727">
        <f>transport!D18</f>
        <v>24.583687230405726</v>
      </c>
      <c r="F45" s="727">
        <f>transport!E18</f>
        <v>124.03112697077447</v>
      </c>
      <c r="G45" s="727">
        <f>transport!F18</f>
        <v>0</v>
      </c>
      <c r="H45" s="727">
        <f>transport!G18</f>
        <v>41490.102255168655</v>
      </c>
      <c r="I45" s="727">
        <f>transport!H18</f>
        <v>8367.7274634953792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50017.640373814684</v>
      </c>
    </row>
    <row r="46" spans="1:18" ht="15.75" thickBot="1">
      <c r="A46" s="886" t="s">
        <v>230</v>
      </c>
      <c r="B46" s="899"/>
      <c r="C46" s="763">
        <f t="shared" ref="C46:R46" ca="1" si="5">SUM(C43:C45)</f>
        <v>11.195840949470707</v>
      </c>
      <c r="D46" s="763">
        <f t="shared" ca="1" si="5"/>
        <v>0</v>
      </c>
      <c r="E46" s="763">
        <f t="shared" si="5"/>
        <v>24.583687230405726</v>
      </c>
      <c r="F46" s="763">
        <f t="shared" si="5"/>
        <v>124.03112697077447</v>
      </c>
      <c r="G46" s="763">
        <f t="shared" si="5"/>
        <v>0</v>
      </c>
      <c r="H46" s="763">
        <f t="shared" si="5"/>
        <v>41798.688337052365</v>
      </c>
      <c r="I46" s="763">
        <f t="shared" si="5"/>
        <v>8367.7274634953792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50326.226455698394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16.606069135855371</v>
      </c>
      <c r="D48" s="718">
        <f ca="1">+landbouw!C12</f>
        <v>0</v>
      </c>
      <c r="E48" s="718">
        <f>+landbouw!D12</f>
        <v>238.74509063838428</v>
      </c>
      <c r="F48" s="718">
        <f>+landbouw!E12</f>
        <v>0.45827543012450733</v>
      </c>
      <c r="G48" s="718">
        <f>+landbouw!F12</f>
        <v>76.407379743687486</v>
      </c>
      <c r="H48" s="718">
        <f>+landbouw!G12</f>
        <v>0</v>
      </c>
      <c r="I48" s="718">
        <f>+landbouw!H12</f>
        <v>0</v>
      </c>
      <c r="J48" s="718">
        <f>+landbouw!I12</f>
        <v>0</v>
      </c>
      <c r="K48" s="718">
        <f>+landbouw!J12</f>
        <v>3.9899626453480148</v>
      </c>
      <c r="L48" s="718">
        <f>+landbouw!K12</f>
        <v>0</v>
      </c>
      <c r="M48" s="718">
        <f>+landbouw!L12</f>
        <v>0</v>
      </c>
      <c r="N48" s="718">
        <f>+landbouw!M12</f>
        <v>0</v>
      </c>
      <c r="O48" s="718">
        <f>+landbouw!N12</f>
        <v>0</v>
      </c>
      <c r="P48" s="718">
        <f>+landbouw!O12</f>
        <v>0</v>
      </c>
      <c r="Q48" s="719">
        <f>+landbouw!P12</f>
        <v>0</v>
      </c>
      <c r="R48" s="761">
        <f ca="1">SUM(C48:Q48)</f>
        <v>336.20677759339964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6157.2460692753984</v>
      </c>
      <c r="D53" s="773">
        <f t="shared" ref="D53:Q53" ca="1" si="6">D41+D46+D48</f>
        <v>0</v>
      </c>
      <c r="E53" s="773">
        <f t="shared" ca="1" si="6"/>
        <v>15029.185322537258</v>
      </c>
      <c r="F53" s="773">
        <f t="shared" si="6"/>
        <v>589.14988603317045</v>
      </c>
      <c r="G53" s="773">
        <f t="shared" ca="1" si="6"/>
        <v>4061.094666206905</v>
      </c>
      <c r="H53" s="773">
        <f t="shared" si="6"/>
        <v>41798.688337052365</v>
      </c>
      <c r="I53" s="773">
        <f t="shared" si="6"/>
        <v>8367.7274634953792</v>
      </c>
      <c r="J53" s="773">
        <f t="shared" si="6"/>
        <v>0</v>
      </c>
      <c r="K53" s="773">
        <f t="shared" si="6"/>
        <v>6.3220038462919206</v>
      </c>
      <c r="L53" s="773">
        <f t="shared" si="6"/>
        <v>0</v>
      </c>
      <c r="M53" s="773">
        <f t="shared" ca="1" si="6"/>
        <v>0</v>
      </c>
      <c r="N53" s="773">
        <f t="shared" si="6"/>
        <v>0</v>
      </c>
      <c r="O53" s="773">
        <f t="shared" ca="1" si="6"/>
        <v>0</v>
      </c>
      <c r="P53" s="773">
        <f>P41+P46+P48</f>
        <v>0</v>
      </c>
      <c r="Q53" s="774">
        <f t="shared" si="6"/>
        <v>0</v>
      </c>
      <c r="R53" s="775">
        <f ca="1">R41+R46+R48</f>
        <v>76009.413748446765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0.21210592763550484</v>
      </c>
      <c r="D55" s="836">
        <f t="shared" ca="1" si="7"/>
        <v>0</v>
      </c>
      <c r="E55" s="836">
        <f t="shared" ca="1" si="7"/>
        <v>0.20200000000000001</v>
      </c>
      <c r="F55" s="836">
        <f t="shared" si="7"/>
        <v>0.22700000000000001</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1168.2669463038158</v>
      </c>
      <c r="C66" s="795">
        <f>'lokale energieproductie'!B6</f>
        <v>1168.2669463038158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1168.2669463038158</v>
      </c>
      <c r="C69" s="803">
        <f>SUM(C64:C68)</f>
        <v>1168.2669463038158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18062.304301303815</v>
      </c>
      <c r="C4" s="478">
        <f>huishoudens!C8</f>
        <v>0</v>
      </c>
      <c r="D4" s="478">
        <f>huishoudens!D8</f>
        <v>55999.913415028001</v>
      </c>
      <c r="E4" s="478">
        <f>huishoudens!E8</f>
        <v>1789.256527840565</v>
      </c>
      <c r="F4" s="478">
        <f>huishoudens!F8</f>
        <v>12200.287654086347</v>
      </c>
      <c r="G4" s="478">
        <f>huishoudens!G8</f>
        <v>0</v>
      </c>
      <c r="H4" s="478">
        <f>huishoudens!H8</f>
        <v>0</v>
      </c>
      <c r="I4" s="478">
        <f>huishoudens!I8</f>
        <v>0</v>
      </c>
      <c r="J4" s="478">
        <f>huishoudens!J8</f>
        <v>0</v>
      </c>
      <c r="K4" s="478">
        <f>huishoudens!K8</f>
        <v>0</v>
      </c>
      <c r="L4" s="478">
        <f>huishoudens!L8</f>
        <v>0</v>
      </c>
      <c r="M4" s="478">
        <f>huishoudens!M8</f>
        <v>0</v>
      </c>
      <c r="N4" s="478">
        <f>huishoudens!N8</f>
        <v>6022.6448107406877</v>
      </c>
      <c r="O4" s="478">
        <f>huishoudens!O8</f>
        <v>165.71333333333337</v>
      </c>
      <c r="P4" s="479">
        <f>huishoudens!P8</f>
        <v>286</v>
      </c>
      <c r="Q4" s="480">
        <f>SUM(B4:P4)</f>
        <v>94526.120042332754</v>
      </c>
    </row>
    <row r="5" spans="1:17">
      <c r="A5" s="477" t="s">
        <v>156</v>
      </c>
      <c r="B5" s="478">
        <f ca="1">tertiair!B16</f>
        <v>9408.8416173469996</v>
      </c>
      <c r="C5" s="478">
        <f ca="1">tertiair!C16</f>
        <v>0</v>
      </c>
      <c r="D5" s="478">
        <f ca="1">tertiair!D16</f>
        <v>15645.753782922999</v>
      </c>
      <c r="E5" s="478">
        <f>tertiair!E16</f>
        <v>159.02992387451664</v>
      </c>
      <c r="F5" s="478">
        <f ca="1">tertiair!F16</f>
        <v>2355.0009241270359</v>
      </c>
      <c r="G5" s="478">
        <f>tertiair!G16</f>
        <v>0</v>
      </c>
      <c r="H5" s="478">
        <f>tertiair!H16</f>
        <v>0</v>
      </c>
      <c r="I5" s="478">
        <f>tertiair!I16</f>
        <v>0</v>
      </c>
      <c r="J5" s="478">
        <f>tertiair!J16</f>
        <v>0</v>
      </c>
      <c r="K5" s="478">
        <f>tertiair!K16</f>
        <v>0</v>
      </c>
      <c r="L5" s="478">
        <f ca="1">tertiair!L16</f>
        <v>0</v>
      </c>
      <c r="M5" s="478">
        <f>tertiair!M16</f>
        <v>0</v>
      </c>
      <c r="N5" s="478">
        <f ca="1">tertiair!N16</f>
        <v>1143.7854844573578</v>
      </c>
      <c r="O5" s="478">
        <f>tertiair!O16</f>
        <v>1.5633333333333335</v>
      </c>
      <c r="P5" s="479">
        <f>tertiair!P16</f>
        <v>38.133333333333333</v>
      </c>
      <c r="Q5" s="477">
        <f t="shared" ref="Q5:Q13" ca="1" si="0">SUM(B5:P5)</f>
        <v>28752.108399395576</v>
      </c>
    </row>
    <row r="6" spans="1:17">
      <c r="A6" s="477" t="s">
        <v>194</v>
      </c>
      <c r="B6" s="478">
        <f>'openbare verlichting'!B8</f>
        <v>718.09199999999998</v>
      </c>
      <c r="C6" s="478"/>
      <c r="D6" s="478"/>
      <c r="E6" s="478"/>
      <c r="F6" s="478"/>
      <c r="G6" s="478"/>
      <c r="H6" s="478"/>
      <c r="I6" s="478"/>
      <c r="J6" s="478"/>
      <c r="K6" s="478"/>
      <c r="L6" s="478"/>
      <c r="M6" s="478"/>
      <c r="N6" s="478"/>
      <c r="O6" s="478"/>
      <c r="P6" s="479"/>
      <c r="Q6" s="477">
        <f t="shared" si="0"/>
        <v>718.09199999999998</v>
      </c>
    </row>
    <row r="7" spans="1:17">
      <c r="A7" s="477" t="s">
        <v>112</v>
      </c>
      <c r="B7" s="478">
        <f>landbouw!B8</f>
        <v>78.291395817999984</v>
      </c>
      <c r="C7" s="478">
        <f>landbouw!C8</f>
        <v>0</v>
      </c>
      <c r="D7" s="478">
        <f>landbouw!D8</f>
        <v>1181.906389298932</v>
      </c>
      <c r="E7" s="478">
        <f>landbouw!E8</f>
        <v>2.0188344939405609</v>
      </c>
      <c r="F7" s="478">
        <f>landbouw!F8</f>
        <v>286.16996158684452</v>
      </c>
      <c r="G7" s="478">
        <f>landbouw!G8</f>
        <v>0</v>
      </c>
      <c r="H7" s="478">
        <f>landbouw!H8</f>
        <v>0</v>
      </c>
      <c r="I7" s="478">
        <f>landbouw!I8</f>
        <v>0</v>
      </c>
      <c r="J7" s="478">
        <f>landbouw!J8</f>
        <v>11.271080919062189</v>
      </c>
      <c r="K7" s="478">
        <f>landbouw!K8</f>
        <v>0</v>
      </c>
      <c r="L7" s="478">
        <f>landbouw!L8</f>
        <v>0</v>
      </c>
      <c r="M7" s="478">
        <f>landbouw!M8</f>
        <v>0</v>
      </c>
      <c r="N7" s="478">
        <f>landbouw!N8</f>
        <v>0</v>
      </c>
      <c r="O7" s="478">
        <f>landbouw!O8</f>
        <v>0</v>
      </c>
      <c r="P7" s="479">
        <f>landbouw!P8</f>
        <v>0</v>
      </c>
      <c r="Q7" s="477">
        <f t="shared" si="0"/>
        <v>1559.6576621167792</v>
      </c>
    </row>
    <row r="8" spans="1:17">
      <c r="A8" s="477" t="s">
        <v>638</v>
      </c>
      <c r="B8" s="478">
        <f>industrie!B18</f>
        <v>708.79537782199998</v>
      </c>
      <c r="C8" s="478">
        <f>industrie!C18</f>
        <v>0</v>
      </c>
      <c r="D8" s="478">
        <f>industrie!D18</f>
        <v>1452.6325281305201</v>
      </c>
      <c r="E8" s="478">
        <f>industrie!E18</f>
        <v>98.676031246466337</v>
      </c>
      <c r="F8" s="478">
        <f>industrie!F18</f>
        <v>368.63384299716643</v>
      </c>
      <c r="G8" s="478">
        <f>industrie!G18</f>
        <v>0</v>
      </c>
      <c r="H8" s="478">
        <f>industrie!H18</f>
        <v>0</v>
      </c>
      <c r="I8" s="478">
        <f>industrie!I18</f>
        <v>0</v>
      </c>
      <c r="J8" s="478">
        <f>industrie!J18</f>
        <v>6.5876870083161165</v>
      </c>
      <c r="K8" s="478">
        <f>industrie!K18</f>
        <v>0</v>
      </c>
      <c r="L8" s="478">
        <f>industrie!L18</f>
        <v>0</v>
      </c>
      <c r="M8" s="478">
        <f>industrie!M18</f>
        <v>0</v>
      </c>
      <c r="N8" s="478">
        <f>industrie!N18</f>
        <v>297.83187675518099</v>
      </c>
      <c r="O8" s="478">
        <f>industrie!O18</f>
        <v>0</v>
      </c>
      <c r="P8" s="479">
        <f>industrie!P18</f>
        <v>0</v>
      </c>
      <c r="Q8" s="477">
        <f t="shared" si="0"/>
        <v>2933.15734395965</v>
      </c>
    </row>
    <row r="9" spans="1:17" s="483" customFormat="1">
      <c r="A9" s="481" t="s">
        <v>564</v>
      </c>
      <c r="B9" s="482">
        <f>transport!B14</f>
        <v>52.784196435614426</v>
      </c>
      <c r="C9" s="482">
        <f>transport!C14</f>
        <v>0</v>
      </c>
      <c r="D9" s="482">
        <f>transport!D14</f>
        <v>121.70142193270161</v>
      </c>
      <c r="E9" s="482">
        <f>transport!E14</f>
        <v>546.39262982720027</v>
      </c>
      <c r="F9" s="482">
        <f>transport!F14</f>
        <v>0</v>
      </c>
      <c r="G9" s="482">
        <f>transport!G14</f>
        <v>155393.64140512605</v>
      </c>
      <c r="H9" s="482">
        <f>transport!H14</f>
        <v>33605.331178696302</v>
      </c>
      <c r="I9" s="482">
        <f>transport!I14</f>
        <v>0</v>
      </c>
      <c r="J9" s="482">
        <f>transport!J14</f>
        <v>0</v>
      </c>
      <c r="K9" s="482">
        <f>transport!K14</f>
        <v>0</v>
      </c>
      <c r="L9" s="482">
        <f>transport!L14</f>
        <v>0</v>
      </c>
      <c r="M9" s="482">
        <f>transport!M14</f>
        <v>5902.6425368196569</v>
      </c>
      <c r="N9" s="482">
        <f>transport!N14</f>
        <v>0</v>
      </c>
      <c r="O9" s="482">
        <f>transport!O14</f>
        <v>0</v>
      </c>
      <c r="P9" s="482">
        <f>transport!P14</f>
        <v>0</v>
      </c>
      <c r="Q9" s="481">
        <f>SUM(B9:P9)</f>
        <v>195622.49336883752</v>
      </c>
    </row>
    <row r="10" spans="1:17">
      <c r="A10" s="477" t="s">
        <v>554</v>
      </c>
      <c r="B10" s="478">
        <f>transport!B54</f>
        <v>0</v>
      </c>
      <c r="C10" s="478">
        <f>transport!C54</f>
        <v>0</v>
      </c>
      <c r="D10" s="478">
        <f>transport!D54</f>
        <v>0</v>
      </c>
      <c r="E10" s="478">
        <f>transport!E54</f>
        <v>0</v>
      </c>
      <c r="F10" s="478">
        <f>transport!F54</f>
        <v>0</v>
      </c>
      <c r="G10" s="478">
        <f>transport!G54</f>
        <v>1155.7531156693383</v>
      </c>
      <c r="H10" s="478">
        <f>transport!H54</f>
        <v>0</v>
      </c>
      <c r="I10" s="478">
        <f>transport!I54</f>
        <v>0</v>
      </c>
      <c r="J10" s="478">
        <f>transport!J54</f>
        <v>0</v>
      </c>
      <c r="K10" s="478">
        <f>transport!K54</f>
        <v>0</v>
      </c>
      <c r="L10" s="478">
        <f>transport!L54</f>
        <v>0</v>
      </c>
      <c r="M10" s="478">
        <f>transport!M54</f>
        <v>35.848876017894199</v>
      </c>
      <c r="N10" s="478">
        <f>transport!N54</f>
        <v>0</v>
      </c>
      <c r="O10" s="478">
        <f>transport!O54</f>
        <v>0</v>
      </c>
      <c r="P10" s="479">
        <f>transport!P54</f>
        <v>0</v>
      </c>
      <c r="Q10" s="477">
        <f t="shared" si="0"/>
        <v>1191.6019916872324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29029.10888872643</v>
      </c>
      <c r="C14" s="488">
        <f t="shared" ref="C14:Q14" ca="1" si="1">SUM(C4:C13)</f>
        <v>0</v>
      </c>
      <c r="D14" s="488">
        <f t="shared" ca="1" si="1"/>
        <v>74401.907537313149</v>
      </c>
      <c r="E14" s="488">
        <f t="shared" si="1"/>
        <v>2595.3739472826892</v>
      </c>
      <c r="F14" s="488">
        <f t="shared" ca="1" si="1"/>
        <v>15210.092382797393</v>
      </c>
      <c r="G14" s="488">
        <f t="shared" si="1"/>
        <v>156549.39452079538</v>
      </c>
      <c r="H14" s="488">
        <f t="shared" si="1"/>
        <v>33605.331178696302</v>
      </c>
      <c r="I14" s="488">
        <f t="shared" si="1"/>
        <v>0</v>
      </c>
      <c r="J14" s="488">
        <f t="shared" si="1"/>
        <v>17.858767927378306</v>
      </c>
      <c r="K14" s="488">
        <f t="shared" si="1"/>
        <v>0</v>
      </c>
      <c r="L14" s="488">
        <f t="shared" ca="1" si="1"/>
        <v>0</v>
      </c>
      <c r="M14" s="488">
        <f t="shared" si="1"/>
        <v>5938.4914128375513</v>
      </c>
      <c r="N14" s="488">
        <f t="shared" ca="1" si="1"/>
        <v>7464.2621719532262</v>
      </c>
      <c r="O14" s="488">
        <f t="shared" si="1"/>
        <v>167.2766666666667</v>
      </c>
      <c r="P14" s="489">
        <f t="shared" si="1"/>
        <v>324.13333333333333</v>
      </c>
      <c r="Q14" s="489">
        <f t="shared" ca="1" si="1"/>
        <v>325303.23080832954</v>
      </c>
    </row>
    <row r="16" spans="1:17">
      <c r="A16" s="491" t="s">
        <v>559</v>
      </c>
      <c r="B16" s="841">
        <f ca="1">huishoudens!B10</f>
        <v>0.21210592763550484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3831.1218090628149</v>
      </c>
      <c r="C21" s="478">
        <f t="shared" ref="C21:C30" ca="1" si="3">C4*$C$16</f>
        <v>0</v>
      </c>
      <c r="D21" s="478">
        <f t="shared" ref="D21:D30" si="4">D4*$D$16</f>
        <v>11311.982509835656</v>
      </c>
      <c r="E21" s="478">
        <f t="shared" ref="E21:E30" si="5">E4*$E$16</f>
        <v>406.16123181980828</v>
      </c>
      <c r="F21" s="478">
        <f t="shared" ref="F21:F30" si="6">F4*$F$16</f>
        <v>3257.4768036410551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18806.742354359332</v>
      </c>
    </row>
    <row r="22" spans="1:17">
      <c r="A22" s="477" t="s">
        <v>156</v>
      </c>
      <c r="B22" s="478">
        <f t="shared" ca="1" si="2"/>
        <v>1995.6710792229289</v>
      </c>
      <c r="C22" s="478">
        <f t="shared" ca="1" si="3"/>
        <v>0</v>
      </c>
      <c r="D22" s="478">
        <f t="shared" ca="1" si="4"/>
        <v>3160.4422641504461</v>
      </c>
      <c r="E22" s="478">
        <f t="shared" si="5"/>
        <v>36.099792719515278</v>
      </c>
      <c r="F22" s="478">
        <f t="shared" ca="1" si="6"/>
        <v>628.78524674191863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5820.9983828348086</v>
      </c>
    </row>
    <row r="23" spans="1:17">
      <c r="A23" s="477" t="s">
        <v>194</v>
      </c>
      <c r="B23" s="478">
        <f t="shared" ca="1" si="2"/>
        <v>152.31156978763494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152.31156978763494</v>
      </c>
    </row>
    <row r="24" spans="1:17">
      <c r="A24" s="477" t="s">
        <v>112</v>
      </c>
      <c r="B24" s="478">
        <f t="shared" ca="1" si="2"/>
        <v>16.606069135855371</v>
      </c>
      <c r="C24" s="478">
        <f t="shared" ca="1" si="3"/>
        <v>0</v>
      </c>
      <c r="D24" s="478">
        <f t="shared" si="4"/>
        <v>238.74509063838428</v>
      </c>
      <c r="E24" s="478">
        <f t="shared" si="5"/>
        <v>0.45827543012450733</v>
      </c>
      <c r="F24" s="478">
        <f t="shared" si="6"/>
        <v>76.407379743687486</v>
      </c>
      <c r="G24" s="478">
        <f t="shared" si="7"/>
        <v>0</v>
      </c>
      <c r="H24" s="478">
        <f t="shared" si="8"/>
        <v>0</v>
      </c>
      <c r="I24" s="478">
        <f t="shared" si="9"/>
        <v>0</v>
      </c>
      <c r="J24" s="478">
        <f t="shared" si="10"/>
        <v>3.9899626453480148</v>
      </c>
      <c r="K24" s="478">
        <f t="shared" si="11"/>
        <v>0</v>
      </c>
      <c r="L24" s="478">
        <f t="shared" si="12"/>
        <v>0</v>
      </c>
      <c r="M24" s="478">
        <f t="shared" si="13"/>
        <v>0</v>
      </c>
      <c r="N24" s="478">
        <f t="shared" si="14"/>
        <v>0</v>
      </c>
      <c r="O24" s="478">
        <f t="shared" si="15"/>
        <v>0</v>
      </c>
      <c r="P24" s="479">
        <f t="shared" si="16"/>
        <v>0</v>
      </c>
      <c r="Q24" s="477">
        <f t="shared" ca="1" si="17"/>
        <v>336.20677759339964</v>
      </c>
    </row>
    <row r="25" spans="1:17">
      <c r="A25" s="477" t="s">
        <v>638</v>
      </c>
      <c r="B25" s="478">
        <f t="shared" ca="1" si="2"/>
        <v>150.33970111669345</v>
      </c>
      <c r="C25" s="478">
        <f t="shared" ca="1" si="3"/>
        <v>0</v>
      </c>
      <c r="D25" s="478">
        <f t="shared" si="4"/>
        <v>293.43177068236508</v>
      </c>
      <c r="E25" s="478">
        <f t="shared" si="5"/>
        <v>22.399459092947858</v>
      </c>
      <c r="F25" s="478">
        <f t="shared" si="6"/>
        <v>98.425236080243437</v>
      </c>
      <c r="G25" s="478">
        <f t="shared" si="7"/>
        <v>0</v>
      </c>
      <c r="H25" s="478">
        <f t="shared" si="8"/>
        <v>0</v>
      </c>
      <c r="I25" s="478">
        <f t="shared" si="9"/>
        <v>0</v>
      </c>
      <c r="J25" s="478">
        <f t="shared" si="10"/>
        <v>2.3320412009439053</v>
      </c>
      <c r="K25" s="478">
        <f t="shared" si="11"/>
        <v>0</v>
      </c>
      <c r="L25" s="478">
        <f t="shared" si="12"/>
        <v>0</v>
      </c>
      <c r="M25" s="478">
        <f t="shared" si="13"/>
        <v>0</v>
      </c>
      <c r="N25" s="478">
        <f t="shared" si="14"/>
        <v>0</v>
      </c>
      <c r="O25" s="478">
        <f t="shared" si="15"/>
        <v>0</v>
      </c>
      <c r="P25" s="479">
        <f t="shared" si="16"/>
        <v>0</v>
      </c>
      <c r="Q25" s="477">
        <f t="shared" ca="1" si="17"/>
        <v>566.92820817319364</v>
      </c>
    </row>
    <row r="26" spans="1:17" s="483" customFormat="1">
      <c r="A26" s="481" t="s">
        <v>564</v>
      </c>
      <c r="B26" s="835">
        <f t="shared" ca="1" si="2"/>
        <v>11.195840949470707</v>
      </c>
      <c r="C26" s="482">
        <f t="shared" ca="1" si="3"/>
        <v>0</v>
      </c>
      <c r="D26" s="482">
        <f t="shared" si="4"/>
        <v>24.583687230405726</v>
      </c>
      <c r="E26" s="482">
        <f t="shared" si="5"/>
        <v>124.03112697077447</v>
      </c>
      <c r="F26" s="482">
        <f t="shared" si="6"/>
        <v>0</v>
      </c>
      <c r="G26" s="482">
        <f t="shared" si="7"/>
        <v>41490.102255168655</v>
      </c>
      <c r="H26" s="482">
        <f t="shared" si="8"/>
        <v>8367.7274634953792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50017.640373814684</v>
      </c>
    </row>
    <row r="27" spans="1:17">
      <c r="A27" s="477" t="s">
        <v>554</v>
      </c>
      <c r="B27" s="478">
        <f t="shared" ca="1" si="2"/>
        <v>0</v>
      </c>
      <c r="C27" s="478">
        <f t="shared" ca="1" si="3"/>
        <v>0</v>
      </c>
      <c r="D27" s="478">
        <f t="shared" si="4"/>
        <v>0</v>
      </c>
      <c r="E27" s="478">
        <f t="shared" si="5"/>
        <v>0</v>
      </c>
      <c r="F27" s="478">
        <f t="shared" si="6"/>
        <v>0</v>
      </c>
      <c r="G27" s="478">
        <f t="shared" si="7"/>
        <v>308.58608188371335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308.58608188371335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6157.2460692753984</v>
      </c>
      <c r="C31" s="488">
        <f t="shared" ca="1" si="18"/>
        <v>0</v>
      </c>
      <c r="D31" s="488">
        <f t="shared" ca="1" si="18"/>
        <v>15029.185322537258</v>
      </c>
      <c r="E31" s="488">
        <f t="shared" si="18"/>
        <v>589.14988603317033</v>
      </c>
      <c r="F31" s="488">
        <f t="shared" ca="1" si="18"/>
        <v>4061.094666206905</v>
      </c>
      <c r="G31" s="488">
        <f t="shared" si="18"/>
        <v>41798.688337052365</v>
      </c>
      <c r="H31" s="488">
        <f t="shared" si="18"/>
        <v>8367.7274634953792</v>
      </c>
      <c r="I31" s="488">
        <f t="shared" si="18"/>
        <v>0</v>
      </c>
      <c r="J31" s="488">
        <f t="shared" si="18"/>
        <v>6.3220038462919206</v>
      </c>
      <c r="K31" s="488">
        <f t="shared" si="18"/>
        <v>0</v>
      </c>
      <c r="L31" s="488">
        <f t="shared" ca="1" si="18"/>
        <v>0</v>
      </c>
      <c r="M31" s="488">
        <f t="shared" si="18"/>
        <v>0</v>
      </c>
      <c r="N31" s="488">
        <f t="shared" ca="1" si="18"/>
        <v>0</v>
      </c>
      <c r="O31" s="488">
        <f t="shared" si="18"/>
        <v>0</v>
      </c>
      <c r="P31" s="489">
        <f t="shared" si="18"/>
        <v>0</v>
      </c>
      <c r="Q31" s="489">
        <f t="shared" ca="1" si="18"/>
        <v>76009.413748446765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0.21210592763550484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0.21210592763550484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0.21210592763550484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4286</v>
      </c>
      <c r="C9" s="342">
        <v>4428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95.05</v>
      </c>
    </row>
    <row r="15" spans="1:6">
      <c r="A15" s="348" t="s">
        <v>184</v>
      </c>
      <c r="B15" s="334">
        <v>0</v>
      </c>
    </row>
    <row r="16" spans="1:6">
      <c r="A16" s="348" t="s">
        <v>6</v>
      </c>
      <c r="B16" s="334">
        <v>0</v>
      </c>
    </row>
    <row r="17" spans="1:6">
      <c r="A17" s="348" t="s">
        <v>7</v>
      </c>
      <c r="B17" s="334">
        <v>39</v>
      </c>
    </row>
    <row r="18" spans="1:6">
      <c r="A18" s="348" t="s">
        <v>8</v>
      </c>
      <c r="B18" s="334">
        <v>41</v>
      </c>
    </row>
    <row r="19" spans="1:6">
      <c r="A19" s="348" t="s">
        <v>9</v>
      </c>
      <c r="B19" s="334">
        <v>31</v>
      </c>
    </row>
    <row r="20" spans="1:6">
      <c r="A20" s="348" t="s">
        <v>10</v>
      </c>
      <c r="B20" s="334">
        <v>12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239</v>
      </c>
      <c r="C29" s="356"/>
      <c r="D29" s="356"/>
      <c r="E29" s="356"/>
      <c r="F29" s="356"/>
    </row>
    <row r="30" spans="1:6">
      <c r="A30" s="355" t="s">
        <v>813</v>
      </c>
      <c r="B30" s="341">
        <v>31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6615.0448869000002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2967</v>
      </c>
      <c r="D39" s="334">
        <v>62084161.214000002</v>
      </c>
      <c r="E39" s="334">
        <v>4200</v>
      </c>
      <c r="F39" s="334">
        <v>16894037.355</v>
      </c>
    </row>
    <row r="40" spans="1:6">
      <c r="A40" s="348" t="s">
        <v>30</v>
      </c>
      <c r="B40" s="348" t="s">
        <v>29</v>
      </c>
      <c r="C40" s="334">
        <v>0</v>
      </c>
      <c r="D40" s="334">
        <v>0</v>
      </c>
      <c r="E40" s="334">
        <v>0</v>
      </c>
      <c r="F40" s="334">
        <v>0</v>
      </c>
    </row>
    <row r="41" spans="1:6">
      <c r="A41" s="348" t="s">
        <v>32</v>
      </c>
      <c r="B41" s="348" t="s">
        <v>33</v>
      </c>
      <c r="C41" s="334">
        <v>17</v>
      </c>
      <c r="D41" s="334">
        <v>414104.17757</v>
      </c>
      <c r="E41" s="334">
        <v>44</v>
      </c>
      <c r="F41" s="334">
        <v>330802.65843000001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71524.615988000005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205452.99835000001</v>
      </c>
      <c r="E47" s="334">
        <v>4</v>
      </c>
      <c r="F47" s="334">
        <v>75358.432776999995</v>
      </c>
    </row>
    <row r="48" spans="1:6">
      <c r="A48" s="348" t="s">
        <v>32</v>
      </c>
      <c r="B48" s="348" t="s">
        <v>29</v>
      </c>
      <c r="C48" s="334">
        <v>19</v>
      </c>
      <c r="D48" s="334">
        <v>761953.74299000006</v>
      </c>
      <c r="E48" s="334">
        <v>20</v>
      </c>
      <c r="F48" s="334">
        <v>190308.53182999999</v>
      </c>
    </row>
    <row r="49" spans="1:6">
      <c r="A49" s="348" t="s">
        <v>32</v>
      </c>
      <c r="B49" s="348" t="s">
        <v>40</v>
      </c>
      <c r="C49" s="334">
        <v>0</v>
      </c>
      <c r="D49" s="334">
        <v>0</v>
      </c>
      <c r="E49" s="334">
        <v>0</v>
      </c>
      <c r="F49" s="334">
        <v>0</v>
      </c>
    </row>
    <row r="50" spans="1:6">
      <c r="A50" s="348" t="s">
        <v>32</v>
      </c>
      <c r="B50" s="348" t="s">
        <v>41</v>
      </c>
      <c r="C50" s="334">
        <v>3</v>
      </c>
      <c r="D50" s="334">
        <v>228946.42934999999</v>
      </c>
      <c r="E50" s="334">
        <v>4</v>
      </c>
      <c r="F50" s="334">
        <v>40801.138797</v>
      </c>
    </row>
    <row r="51" spans="1:6">
      <c r="A51" s="348" t="s">
        <v>42</v>
      </c>
      <c r="B51" s="348" t="s">
        <v>43</v>
      </c>
      <c r="C51" s="334">
        <v>3</v>
      </c>
      <c r="D51" s="334">
        <v>61552.248998000003</v>
      </c>
      <c r="E51" s="334">
        <v>14</v>
      </c>
      <c r="F51" s="334">
        <v>48256.249153999997</v>
      </c>
    </row>
    <row r="52" spans="1:6">
      <c r="A52" s="348" t="s">
        <v>42</v>
      </c>
      <c r="B52" s="348" t="s">
        <v>29</v>
      </c>
      <c r="C52" s="334">
        <v>4</v>
      </c>
      <c r="D52" s="334">
        <v>77951.655467999997</v>
      </c>
      <c r="E52" s="334">
        <v>7</v>
      </c>
      <c r="F52" s="334">
        <v>30035.146664</v>
      </c>
    </row>
    <row r="53" spans="1:6">
      <c r="A53" s="348" t="s">
        <v>44</v>
      </c>
      <c r="B53" s="348" t="s">
        <v>45</v>
      </c>
      <c r="C53" s="334">
        <v>74</v>
      </c>
      <c r="D53" s="334">
        <v>1170813.6003</v>
      </c>
      <c r="E53" s="334">
        <v>154</v>
      </c>
      <c r="F53" s="334">
        <v>948310.14971000003</v>
      </c>
    </row>
    <row r="54" spans="1:6">
      <c r="A54" s="348" t="s">
        <v>46</v>
      </c>
      <c r="B54" s="348" t="s">
        <v>47</v>
      </c>
      <c r="C54" s="334">
        <v>0</v>
      </c>
      <c r="D54" s="334">
        <v>0</v>
      </c>
      <c r="E54" s="334">
        <v>1</v>
      </c>
      <c r="F54" s="334">
        <v>718092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543247.27437999996</v>
      </c>
      <c r="E57" s="334">
        <v>75</v>
      </c>
      <c r="F57" s="334">
        <v>1293602.2501000001</v>
      </c>
    </row>
    <row r="58" spans="1:6">
      <c r="A58" s="348" t="s">
        <v>49</v>
      </c>
      <c r="B58" s="348" t="s">
        <v>51</v>
      </c>
      <c r="C58" s="334">
        <v>9</v>
      </c>
      <c r="D58" s="334">
        <v>248203.69459999999</v>
      </c>
      <c r="E58" s="334">
        <v>21</v>
      </c>
      <c r="F58" s="334">
        <v>144093.38535</v>
      </c>
    </row>
    <row r="59" spans="1:6">
      <c r="A59" s="348" t="s">
        <v>49</v>
      </c>
      <c r="B59" s="348" t="s">
        <v>52</v>
      </c>
      <c r="C59" s="334">
        <v>34</v>
      </c>
      <c r="D59" s="334">
        <v>1206829.2560000001</v>
      </c>
      <c r="E59" s="334">
        <v>81</v>
      </c>
      <c r="F59" s="334">
        <v>1903046.7461999999</v>
      </c>
    </row>
    <row r="60" spans="1:6">
      <c r="A60" s="348" t="s">
        <v>49</v>
      </c>
      <c r="B60" s="348" t="s">
        <v>53</v>
      </c>
      <c r="C60" s="334">
        <v>30</v>
      </c>
      <c r="D60" s="334">
        <v>1110891.7472000001</v>
      </c>
      <c r="E60" s="334">
        <v>33</v>
      </c>
      <c r="F60" s="334">
        <v>606567.44741999998</v>
      </c>
    </row>
    <row r="61" spans="1:6">
      <c r="A61" s="348" t="s">
        <v>49</v>
      </c>
      <c r="B61" s="348" t="s">
        <v>54</v>
      </c>
      <c r="C61" s="334">
        <v>155</v>
      </c>
      <c r="D61" s="334">
        <v>10523689.725</v>
      </c>
      <c r="E61" s="334">
        <v>279</v>
      </c>
      <c r="F61" s="334">
        <v>4101751.3358</v>
      </c>
    </row>
    <row r="62" spans="1:6">
      <c r="A62" s="348" t="s">
        <v>49</v>
      </c>
      <c r="B62" s="348" t="s">
        <v>55</v>
      </c>
      <c r="C62" s="334">
        <v>5</v>
      </c>
      <c r="D62" s="334">
        <v>403384.53821999999</v>
      </c>
      <c r="E62" s="334">
        <v>5</v>
      </c>
      <c r="F62" s="334">
        <v>44714.587076999996</v>
      </c>
    </row>
    <row r="63" spans="1:6">
      <c r="A63" s="348" t="s">
        <v>49</v>
      </c>
      <c r="B63" s="348" t="s">
        <v>29</v>
      </c>
      <c r="C63" s="334">
        <v>81</v>
      </c>
      <c r="D63" s="334">
        <v>3309378.8010999998</v>
      </c>
      <c r="E63" s="334">
        <v>92</v>
      </c>
      <c r="F63" s="334">
        <v>1315065.8654</v>
      </c>
    </row>
    <row r="64" spans="1:6">
      <c r="A64" s="348" t="s">
        <v>56</v>
      </c>
      <c r="B64" s="348" t="s">
        <v>57</v>
      </c>
      <c r="C64" s="334">
        <v>0</v>
      </c>
      <c r="D64" s="334">
        <v>0</v>
      </c>
      <c r="E64" s="334">
        <v>0</v>
      </c>
      <c r="F64" s="334">
        <v>0</v>
      </c>
    </row>
    <row r="65" spans="1:6">
      <c r="A65" s="348" t="s">
        <v>56</v>
      </c>
      <c r="B65" s="348" t="s">
        <v>29</v>
      </c>
      <c r="C65" s="334">
        <v>1</v>
      </c>
      <c r="D65" s="334">
        <v>83746.325012000001</v>
      </c>
      <c r="E65" s="334">
        <v>1</v>
      </c>
      <c r="F65" s="334">
        <v>3039.8913087000001</v>
      </c>
    </row>
    <row r="66" spans="1:6">
      <c r="A66" s="348" t="s">
        <v>56</v>
      </c>
      <c r="B66" s="348" t="s">
        <v>58</v>
      </c>
      <c r="C66" s="334">
        <v>0</v>
      </c>
      <c r="D66" s="334">
        <v>0</v>
      </c>
      <c r="E66" s="334">
        <v>10</v>
      </c>
      <c r="F66" s="334">
        <v>295387.17830999999</v>
      </c>
    </row>
    <row r="67" spans="1:6">
      <c r="A67" s="355" t="s">
        <v>56</v>
      </c>
      <c r="B67" s="355" t="s">
        <v>59</v>
      </c>
      <c r="C67" s="334">
        <v>0</v>
      </c>
      <c r="D67" s="334">
        <v>0</v>
      </c>
      <c r="E67" s="334">
        <v>0</v>
      </c>
      <c r="F67" s="334">
        <v>0</v>
      </c>
    </row>
    <row r="68" spans="1:6">
      <c r="A68" s="341" t="s">
        <v>56</v>
      </c>
      <c r="B68" s="341" t="s">
        <v>60</v>
      </c>
      <c r="C68" s="334">
        <v>0</v>
      </c>
      <c r="D68" s="334">
        <v>0</v>
      </c>
      <c r="E68" s="334">
        <v>3</v>
      </c>
      <c r="F68" s="334">
        <v>27962.147840000001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26195899</v>
      </c>
      <c r="E73" s="476">
        <v>26836177.625544626</v>
      </c>
    </row>
    <row r="74" spans="1:6">
      <c r="A74" s="348" t="s">
        <v>64</v>
      </c>
      <c r="B74" s="348" t="s">
        <v>667</v>
      </c>
      <c r="C74" s="1212" t="s">
        <v>669</v>
      </c>
      <c r="D74" s="476">
        <v>1086923.9751237661</v>
      </c>
      <c r="E74" s="476">
        <v>1094373.214116296</v>
      </c>
    </row>
    <row r="75" spans="1:6">
      <c r="A75" s="348" t="s">
        <v>65</v>
      </c>
      <c r="B75" s="348" t="s">
        <v>666</v>
      </c>
      <c r="C75" s="1212" t="s">
        <v>670</v>
      </c>
      <c r="D75" s="476">
        <v>37020741</v>
      </c>
      <c r="E75" s="476">
        <v>37910963.581685029</v>
      </c>
    </row>
    <row r="76" spans="1:6">
      <c r="A76" s="348" t="s">
        <v>65</v>
      </c>
      <c r="B76" s="348" t="s">
        <v>667</v>
      </c>
      <c r="C76" s="1212" t="s">
        <v>671</v>
      </c>
      <c r="D76" s="476">
        <v>1057362.9751237661</v>
      </c>
      <c r="E76" s="476">
        <v>1066478.4254253912</v>
      </c>
    </row>
    <row r="77" spans="1:6">
      <c r="A77" s="348" t="s">
        <v>66</v>
      </c>
      <c r="B77" s="348" t="s">
        <v>666</v>
      </c>
      <c r="C77" s="1212" t="s">
        <v>672</v>
      </c>
      <c r="D77" s="476">
        <v>162034141</v>
      </c>
      <c r="E77" s="476">
        <v>168141747.18114361</v>
      </c>
    </row>
    <row r="78" spans="1:6">
      <c r="A78" s="341" t="s">
        <v>66</v>
      </c>
      <c r="B78" s="341" t="s">
        <v>667</v>
      </c>
      <c r="C78" s="341" t="s">
        <v>673</v>
      </c>
      <c r="D78" s="1213">
        <v>11932848</v>
      </c>
      <c r="E78" s="1213">
        <v>12309098.265565749</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320048.04975246772</v>
      </c>
      <c r="C83" s="476">
        <v>320048.04975246772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1168.2669463038158</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1825</v>
      </c>
    </row>
    <row r="98" spans="1:6">
      <c r="A98" s="348" t="s">
        <v>72</v>
      </c>
      <c r="B98" s="334">
        <v>3</v>
      </c>
    </row>
    <row r="99" spans="1:6">
      <c r="A99" s="348" t="s">
        <v>73</v>
      </c>
      <c r="B99" s="334">
        <v>27</v>
      </c>
    </row>
    <row r="100" spans="1:6">
      <c r="A100" s="348" t="s">
        <v>74</v>
      </c>
      <c r="B100" s="334">
        <v>215</v>
      </c>
    </row>
    <row r="101" spans="1:6">
      <c r="A101" s="348" t="s">
        <v>75</v>
      </c>
      <c r="B101" s="334">
        <v>32</v>
      </c>
    </row>
    <row r="102" spans="1:6">
      <c r="A102" s="348" t="s">
        <v>76</v>
      </c>
      <c r="B102" s="334">
        <v>57</v>
      </c>
    </row>
    <row r="103" spans="1:6">
      <c r="A103" s="348" t="s">
        <v>77</v>
      </c>
      <c r="B103" s="334">
        <v>75</v>
      </c>
    </row>
    <row r="104" spans="1:6">
      <c r="A104" s="348" t="s">
        <v>78</v>
      </c>
      <c r="B104" s="334">
        <v>1529</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1</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29029.10888872643</v>
      </c>
      <c r="C3" s="43" t="s">
        <v>170</v>
      </c>
      <c r="D3" s="43"/>
      <c r="E3" s="154"/>
      <c r="F3" s="43"/>
      <c r="G3" s="43"/>
      <c r="H3" s="43"/>
      <c r="I3" s="43"/>
      <c r="J3" s="43"/>
      <c r="K3" s="96"/>
    </row>
    <row r="4" spans="1:11">
      <c r="A4" s="383" t="s">
        <v>171</v>
      </c>
      <c r="B4" s="49">
        <f>IF(ISERROR('SEAP template'!B69),0,'SEAP template'!B69)</f>
        <v>1168.2669463038158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0.21210592763550484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718.09199999999998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718.09199999999998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0.21210592763550484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152.31156978763494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16894.037355</v>
      </c>
      <c r="C5" s="17">
        <f>IF(ISERROR('Eigen informatie GS &amp; warmtenet'!B57),0,'Eigen informatie GS &amp; warmtenet'!B57)</f>
        <v>0</v>
      </c>
      <c r="D5" s="30">
        <f>(SUM(HH_hh_gas_kWh,HH_rest_gas_kWh)/1000)*0.902</f>
        <v>55999.913415028001</v>
      </c>
      <c r="E5" s="17">
        <f>B46*B57</f>
        <v>1789.256527840565</v>
      </c>
      <c r="F5" s="17">
        <f>B51*B62</f>
        <v>12200.287654086347</v>
      </c>
      <c r="G5" s="18"/>
      <c r="H5" s="17"/>
      <c r="I5" s="17"/>
      <c r="J5" s="17">
        <f>B50*B61+C50*C61</f>
        <v>0</v>
      </c>
      <c r="K5" s="17"/>
      <c r="L5" s="17"/>
      <c r="M5" s="17"/>
      <c r="N5" s="17">
        <f>B48*B59+C48*C59</f>
        <v>6022.6448107406877</v>
      </c>
      <c r="O5" s="17">
        <f>B69*B70*B71</f>
        <v>165.71333333333337</v>
      </c>
      <c r="P5" s="17">
        <f>B77*B78*B79/1000-B77*B78*B79/1000/B80</f>
        <v>286</v>
      </c>
    </row>
    <row r="6" spans="1:16">
      <c r="A6" s="16" t="s">
        <v>624</v>
      </c>
      <c r="B6" s="843">
        <f>kWh_PV_kleiner_dan_10kW</f>
        <v>1168.2669463038158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18062.304301303815</v>
      </c>
      <c r="C8" s="21">
        <f>C5</f>
        <v>0</v>
      </c>
      <c r="D8" s="21">
        <f>D5</f>
        <v>55999.913415028001</v>
      </c>
      <c r="E8" s="21">
        <f>E5</f>
        <v>1789.256527840565</v>
      </c>
      <c r="F8" s="21">
        <f>F5</f>
        <v>12200.287654086347</v>
      </c>
      <c r="G8" s="21"/>
      <c r="H8" s="21"/>
      <c r="I8" s="21"/>
      <c r="J8" s="21">
        <f>J5</f>
        <v>0</v>
      </c>
      <c r="K8" s="21"/>
      <c r="L8" s="21">
        <f>L5</f>
        <v>0</v>
      </c>
      <c r="M8" s="21">
        <f>M5</f>
        <v>0</v>
      </c>
      <c r="N8" s="21">
        <f>N5</f>
        <v>6022.6448107406877</v>
      </c>
      <c r="O8" s="21">
        <f>O5</f>
        <v>165.71333333333337</v>
      </c>
      <c r="P8" s="21">
        <f>P5</f>
        <v>286</v>
      </c>
    </row>
    <row r="9" spans="1:16">
      <c r="B9" s="19"/>
      <c r="C9" s="19"/>
      <c r="D9" s="258"/>
      <c r="E9" s="19"/>
      <c r="F9" s="19"/>
      <c r="G9" s="19"/>
      <c r="H9" s="19"/>
      <c r="I9" s="19"/>
      <c r="J9" s="19"/>
      <c r="K9" s="19"/>
      <c r="L9" s="19"/>
      <c r="M9" s="19"/>
      <c r="N9" s="19"/>
      <c r="O9" s="19"/>
      <c r="P9" s="19"/>
    </row>
    <row r="10" spans="1:16">
      <c r="A10" s="24" t="s">
        <v>214</v>
      </c>
      <c r="B10" s="25">
        <f ca="1">'EF ele_warmte'!B12</f>
        <v>0.21210592763550484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3831.1218090628149</v>
      </c>
      <c r="C12" s="23">
        <f ca="1">C10*C8</f>
        <v>0</v>
      </c>
      <c r="D12" s="23">
        <f>D8*D10</f>
        <v>11311.982509835656</v>
      </c>
      <c r="E12" s="23">
        <f>E10*E8</f>
        <v>406.16123181980828</v>
      </c>
      <c r="F12" s="23">
        <f>F10*F8</f>
        <v>3257.4768036410551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1825</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9.8540145985401466</v>
      </c>
      <c r="D20" s="229"/>
      <c r="E20" s="15"/>
    </row>
    <row r="21" spans="1:7">
      <c r="A21" s="171" t="s">
        <v>74</v>
      </c>
      <c r="B21" s="37">
        <f>aantalw2001_elektriciteit</f>
        <v>215</v>
      </c>
      <c r="C21" s="167">
        <f>IF(ISERROR(B21/SUM($B$20,$B$21,$B$22)*100),0,B21/SUM($B$20,$B$21,$B$22)*100)</f>
        <v>78.467153284671525</v>
      </c>
      <c r="D21" s="229"/>
      <c r="E21" s="15"/>
    </row>
    <row r="22" spans="1:7">
      <c r="A22" s="171" t="s">
        <v>75</v>
      </c>
      <c r="B22" s="37">
        <f>aantalw2001_hout</f>
        <v>32</v>
      </c>
      <c r="C22" s="167">
        <f>IF(ISERROR(B22/SUM($B$20,$B$21,$B$22)*100),0,B22/SUM($B$20,$B$21,$B$22)*100)</f>
        <v>11.678832116788321</v>
      </c>
      <c r="D22" s="229"/>
      <c r="E22" s="15"/>
    </row>
    <row r="23" spans="1:7">
      <c r="A23" s="171" t="s">
        <v>76</v>
      </c>
      <c r="B23" s="37">
        <f>aantalw2001_niet_gespec</f>
        <v>57</v>
      </c>
      <c r="C23" s="166" t="s">
        <v>111</v>
      </c>
      <c r="D23" s="228"/>
      <c r="E23" s="15"/>
    </row>
    <row r="24" spans="1:7">
      <c r="A24" s="171" t="s">
        <v>77</v>
      </c>
      <c r="B24" s="37">
        <f>aantalw2001_steenkool</f>
        <v>75</v>
      </c>
      <c r="C24" s="166" t="s">
        <v>111</v>
      </c>
      <c r="D24" s="229"/>
      <c r="E24" s="15"/>
    </row>
    <row r="25" spans="1:7">
      <c r="A25" s="171" t="s">
        <v>78</v>
      </c>
      <c r="B25" s="37">
        <f>aantalw2001_stookolie</f>
        <v>1529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4286</v>
      </c>
      <c r="C28" s="36"/>
      <c r="D28" s="228"/>
    </row>
    <row r="29" spans="1:7" s="15" customFormat="1">
      <c r="A29" s="230" t="s">
        <v>699</v>
      </c>
      <c r="B29" s="37">
        <f>SUM(HH_hh_gas_aantal,HH_rest_gas_aantal)</f>
        <v>2967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2967</v>
      </c>
      <c r="C32" s="167">
        <f>IF(ISERROR(B32/SUM($B$32,$B$34,$B$35,$B$36,$B$38,$B$39)*100),0,B32/SUM($B$32,$B$34,$B$35,$B$36,$B$38,$B$39)*100)</f>
        <v>69.468508546007953</v>
      </c>
      <c r="D32" s="233"/>
      <c r="G32" s="15"/>
    </row>
    <row r="33" spans="1:7">
      <c r="A33" s="171" t="s">
        <v>72</v>
      </c>
      <c r="B33" s="34" t="s">
        <v>111</v>
      </c>
      <c r="C33" s="167"/>
      <c r="D33" s="233"/>
      <c r="G33" s="15"/>
    </row>
    <row r="34" spans="1:7">
      <c r="A34" s="171" t="s">
        <v>73</v>
      </c>
      <c r="B34" s="33">
        <f>IF((($B$28-$B$32-$B$39-$B$77-$B$38)*C20/100)&lt;0,0,($B$28-$B$32-$B$39-$B$77-$B$38)*C20/100)</f>
        <v>79.108029197080299</v>
      </c>
      <c r="C34" s="167">
        <f>IF(ISERROR(B34/SUM($B$32,$B$34,$B$35,$B$36,$B$38,$B$39)*100),0,B34/SUM($B$32,$B$34,$B$35,$B$36,$B$38,$B$39)*100)</f>
        <v>1.8522132801938727</v>
      </c>
      <c r="D34" s="233"/>
      <c r="G34" s="15"/>
    </row>
    <row r="35" spans="1:7">
      <c r="A35" s="171" t="s">
        <v>74</v>
      </c>
      <c r="B35" s="33">
        <f>IF((($B$28-$B$32-$B$39-$B$77-$B$38)*C21/100)&lt;0,0,($B$28-$B$32-$B$39-$B$77-$B$38)*C21/100)</f>
        <v>629.93430656934299</v>
      </c>
      <c r="C35" s="167">
        <f>IF(ISERROR(B35/SUM($B$32,$B$34,$B$35,$B$36,$B$38,$B$39)*100),0,B35/SUM($B$32,$B$34,$B$35,$B$36,$B$38,$B$39)*100)</f>
        <v>14.749105749691946</v>
      </c>
      <c r="D35" s="233"/>
      <c r="G35" s="15"/>
    </row>
    <row r="36" spans="1:7">
      <c r="A36" s="171" t="s">
        <v>75</v>
      </c>
      <c r="B36" s="33">
        <f>IF((($B$28-$B$32-$B$39-$B$77-$B$38)*C22/100)&lt;0,0,($B$28-$B$32-$B$39-$B$77-$B$38)*C22/100)</f>
        <v>93.757664233576634</v>
      </c>
      <c r="C36" s="167">
        <f>IF(ISERROR(B36/SUM($B$32,$B$34,$B$35,$B$36,$B$38,$B$39)*100),0,B36/SUM($B$32,$B$34,$B$35,$B$36,$B$38,$B$39)*100)</f>
        <v>2.1952157394890337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501.20000000000005</v>
      </c>
      <c r="C39" s="167">
        <f>IF(ISERROR(B39/SUM($B$32,$B$34,$B$35,$B$36,$B$38,$B$39)*100),0,B39/SUM($B$32,$B$34,$B$35,$B$36,$B$38,$B$39)*100)</f>
        <v>11.734956684617186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2967</v>
      </c>
      <c r="C44" s="34" t="s">
        <v>111</v>
      </c>
      <c r="D44" s="174"/>
    </row>
    <row r="45" spans="1:7">
      <c r="A45" s="171" t="s">
        <v>72</v>
      </c>
      <c r="B45" s="33" t="str">
        <f t="shared" si="0"/>
        <v>-</v>
      </c>
      <c r="C45" s="34" t="s">
        <v>111</v>
      </c>
      <c r="D45" s="174"/>
    </row>
    <row r="46" spans="1:7">
      <c r="A46" s="171" t="s">
        <v>73</v>
      </c>
      <c r="B46" s="33">
        <f t="shared" si="0"/>
        <v>79.108029197080299</v>
      </c>
      <c r="C46" s="34" t="s">
        <v>111</v>
      </c>
      <c r="D46" s="174"/>
    </row>
    <row r="47" spans="1:7">
      <c r="A47" s="171" t="s">
        <v>74</v>
      </c>
      <c r="B47" s="33">
        <f t="shared" si="0"/>
        <v>629.93430656934299</v>
      </c>
      <c r="C47" s="34" t="s">
        <v>111</v>
      </c>
      <c r="D47" s="174"/>
    </row>
    <row r="48" spans="1:7">
      <c r="A48" s="171" t="s">
        <v>75</v>
      </c>
      <c r="B48" s="33">
        <f t="shared" si="0"/>
        <v>93.757664233576634</v>
      </c>
      <c r="C48" s="33">
        <f>B48*10</f>
        <v>937.57664233576634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501.20000000000005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9408.8416173469996</v>
      </c>
      <c r="C5" s="17">
        <f>IF(ISERROR('Eigen informatie GS &amp; warmtenet'!B58),0,'Eigen informatie GS &amp; warmtenet'!B58)</f>
        <v>0</v>
      </c>
      <c r="D5" s="30">
        <f>SUM(D6:D12)</f>
        <v>15645.753782922999</v>
      </c>
      <c r="E5" s="17">
        <f>SUM(E6:E12)</f>
        <v>159.02992387451664</v>
      </c>
      <c r="F5" s="17">
        <f>SUM(F6:F12)</f>
        <v>2355.0009241270359</v>
      </c>
      <c r="G5" s="18"/>
      <c r="H5" s="17"/>
      <c r="I5" s="17"/>
      <c r="J5" s="17">
        <f>SUM(J6:J12)</f>
        <v>0</v>
      </c>
      <c r="K5" s="17"/>
      <c r="L5" s="17"/>
      <c r="M5" s="17"/>
      <c r="N5" s="17">
        <f>SUM(N6:N12)</f>
        <v>1143.7854844573578</v>
      </c>
      <c r="O5" s="17">
        <f>B38*B39*B40</f>
        <v>1.5633333333333335</v>
      </c>
      <c r="P5" s="17">
        <f>B46*B47*B48/1000-B46*B47*B48/1000/B49</f>
        <v>38.133333333333333</v>
      </c>
      <c r="R5" s="32"/>
    </row>
    <row r="6" spans="1:18">
      <c r="A6" s="32" t="s">
        <v>54</v>
      </c>
      <c r="B6" s="37">
        <f>B26</f>
        <v>4101.7513357999997</v>
      </c>
      <c r="C6" s="33"/>
      <c r="D6" s="37">
        <f>IF(ISERROR(TER_kantoor_gas_kWh/1000),0,TER_kantoor_gas_kWh/1000)*0.902</f>
        <v>9492.368131950001</v>
      </c>
      <c r="E6" s="33">
        <f>$C$26*'E Balans VL '!I12/100/3.6*1000000</f>
        <v>53.696977610616742</v>
      </c>
      <c r="F6" s="33">
        <f>$C$26*('E Balans VL '!L12+'E Balans VL '!N12)/100/3.6*1000000</f>
        <v>1045.9042047140174</v>
      </c>
      <c r="G6" s="34"/>
      <c r="H6" s="33"/>
      <c r="I6" s="33"/>
      <c r="J6" s="33">
        <f>$C$26*('E Balans VL '!D12+'E Balans VL '!E12)/100/3.6*1000000</f>
        <v>0</v>
      </c>
      <c r="K6" s="33"/>
      <c r="L6" s="33"/>
      <c r="M6" s="33"/>
      <c r="N6" s="33">
        <f>$C$26*'E Balans VL '!Y12/100/3.6*1000000</f>
        <v>4.1155637637219824</v>
      </c>
      <c r="O6" s="33"/>
      <c r="P6" s="33"/>
      <c r="R6" s="32"/>
    </row>
    <row r="7" spans="1:18">
      <c r="A7" s="32" t="s">
        <v>53</v>
      </c>
      <c r="B7" s="37">
        <f t="shared" ref="B7:B12" si="0">B27</f>
        <v>606.56744742000001</v>
      </c>
      <c r="C7" s="33"/>
      <c r="D7" s="37">
        <f>IF(ISERROR(TER_horeca_gas_kWh/1000),0,TER_horeca_gas_kWh/1000)*0.902</f>
        <v>1002.0243559744001</v>
      </c>
      <c r="E7" s="33">
        <f>$C$27*'E Balans VL '!I9/100/3.6*1000000</f>
        <v>20.073692883591317</v>
      </c>
      <c r="F7" s="33">
        <f>$C$27*('E Balans VL '!L9+'E Balans VL '!N9)/100/3.6*1000000</f>
        <v>260.82167774256095</v>
      </c>
      <c r="G7" s="34"/>
      <c r="H7" s="33"/>
      <c r="I7" s="33"/>
      <c r="J7" s="33">
        <f>$C$27*('E Balans VL '!D9+'E Balans VL '!E9)/100/3.6*1000000</f>
        <v>0</v>
      </c>
      <c r="K7" s="33"/>
      <c r="L7" s="33"/>
      <c r="M7" s="33"/>
      <c r="N7" s="33">
        <f>$C$27*'E Balans VL '!Y9/100/3.6*1000000</f>
        <v>0.14600959291996399</v>
      </c>
      <c r="O7" s="33"/>
      <c r="P7" s="33"/>
      <c r="R7" s="32"/>
    </row>
    <row r="8" spans="1:18">
      <c r="A8" s="6" t="s">
        <v>52</v>
      </c>
      <c r="B8" s="37">
        <f t="shared" si="0"/>
        <v>1903.0467461999999</v>
      </c>
      <c r="C8" s="33"/>
      <c r="D8" s="37">
        <f>IF(ISERROR(TER_handel_gas_kWh/1000),0,TER_handel_gas_kWh/1000)*0.902</f>
        <v>1088.5599889120001</v>
      </c>
      <c r="E8" s="33">
        <f>$C$28*'E Balans VL '!I13/100/3.6*1000000</f>
        <v>60.063063078945845</v>
      </c>
      <c r="F8" s="33">
        <f>$C$28*('E Balans VL '!L13+'E Balans VL '!N13)/100/3.6*1000000</f>
        <v>373.22097750249975</v>
      </c>
      <c r="G8" s="34"/>
      <c r="H8" s="33"/>
      <c r="I8" s="33"/>
      <c r="J8" s="33">
        <f>$C$28*('E Balans VL '!D13+'E Balans VL '!E13)/100/3.6*1000000</f>
        <v>0</v>
      </c>
      <c r="K8" s="33"/>
      <c r="L8" s="33"/>
      <c r="M8" s="33"/>
      <c r="N8" s="33">
        <f>$C$28*'E Balans VL '!Y13/100/3.6*1000000</f>
        <v>2.2585470157494356</v>
      </c>
      <c r="O8" s="33"/>
      <c r="P8" s="33"/>
      <c r="R8" s="32"/>
    </row>
    <row r="9" spans="1:18">
      <c r="A9" s="32" t="s">
        <v>51</v>
      </c>
      <c r="B9" s="37">
        <f t="shared" si="0"/>
        <v>144.09338535000001</v>
      </c>
      <c r="C9" s="33"/>
      <c r="D9" s="37">
        <f>IF(ISERROR(TER_gezond_gas_kWh/1000),0,TER_gezond_gas_kWh/1000)*0.902</f>
        <v>223.8797325292</v>
      </c>
      <c r="E9" s="33">
        <f>$C$29*'E Balans VL '!I10/100/3.6*1000000</f>
        <v>1.8448168683257517E-2</v>
      </c>
      <c r="F9" s="33">
        <f>$C$29*('E Balans VL '!L10+'E Balans VL '!N10)/100/3.6*1000000</f>
        <v>30.020691675665894</v>
      </c>
      <c r="G9" s="34"/>
      <c r="H9" s="33"/>
      <c r="I9" s="33"/>
      <c r="J9" s="33">
        <f>$C$29*('E Balans VL '!D10+'E Balans VL '!E10)/100/3.6*1000000</f>
        <v>0</v>
      </c>
      <c r="K9" s="33"/>
      <c r="L9" s="33"/>
      <c r="M9" s="33"/>
      <c r="N9" s="33">
        <f>$C$29*'E Balans VL '!Y10/100/3.6*1000000</f>
        <v>1.6924449184234736</v>
      </c>
      <c r="O9" s="33"/>
      <c r="P9" s="33"/>
      <c r="R9" s="32"/>
    </row>
    <row r="10" spans="1:18">
      <c r="A10" s="32" t="s">
        <v>50</v>
      </c>
      <c r="B10" s="37">
        <f t="shared" si="0"/>
        <v>1293.6022501</v>
      </c>
      <c r="C10" s="33"/>
      <c r="D10" s="37">
        <f>IF(ISERROR(TER_ander_gas_kWh/1000),0,TER_ander_gas_kWh/1000)*0.902</f>
        <v>490.00904149075996</v>
      </c>
      <c r="E10" s="33">
        <f>$C$30*'E Balans VL '!I14/100/3.6*1000000</f>
        <v>1.9452735734167195</v>
      </c>
      <c r="F10" s="33">
        <f>$C$30*('E Balans VL '!L14+'E Balans VL '!N14)/100/3.6*1000000</f>
        <v>285.58567807488583</v>
      </c>
      <c r="G10" s="34"/>
      <c r="H10" s="33"/>
      <c r="I10" s="33"/>
      <c r="J10" s="33">
        <f>$C$30*('E Balans VL '!D14+'E Balans VL '!E14)/100/3.6*1000000</f>
        <v>0</v>
      </c>
      <c r="K10" s="33"/>
      <c r="L10" s="33"/>
      <c r="M10" s="33"/>
      <c r="N10" s="33">
        <f>$C$30*'E Balans VL '!Y14/100/3.6*1000000</f>
        <v>1019.4456292278883</v>
      </c>
      <c r="O10" s="33"/>
      <c r="P10" s="33"/>
      <c r="R10" s="32"/>
    </row>
    <row r="11" spans="1:18">
      <c r="A11" s="32" t="s">
        <v>55</v>
      </c>
      <c r="B11" s="37">
        <f t="shared" si="0"/>
        <v>44.714587076999997</v>
      </c>
      <c r="C11" s="33"/>
      <c r="D11" s="37">
        <f>IF(ISERROR(TER_onderwijs_gas_kWh/1000),0,TER_onderwijs_gas_kWh/1000)*0.902</f>
        <v>363.85285347444</v>
      </c>
      <c r="E11" s="33">
        <f>$C$31*'E Balans VL '!I11/100/3.6*1000000</f>
        <v>7.8746134912041799E-2</v>
      </c>
      <c r="F11" s="33">
        <f>$C$31*('E Balans VL '!L11+'E Balans VL '!N11)/100/3.6*1000000</f>
        <v>20.64553396256585</v>
      </c>
      <c r="G11" s="34"/>
      <c r="H11" s="33"/>
      <c r="I11" s="33"/>
      <c r="J11" s="33">
        <f>$C$31*('E Balans VL '!D11+'E Balans VL '!E11)/100/3.6*1000000</f>
        <v>0</v>
      </c>
      <c r="K11" s="33"/>
      <c r="L11" s="33"/>
      <c r="M11" s="33"/>
      <c r="N11" s="33">
        <f>$C$31*'E Balans VL '!Y11/100/3.6*1000000</f>
        <v>8.330389407258082E-2</v>
      </c>
      <c r="O11" s="33"/>
      <c r="P11" s="33"/>
      <c r="R11" s="32"/>
    </row>
    <row r="12" spans="1:18">
      <c r="A12" s="32" t="s">
        <v>260</v>
      </c>
      <c r="B12" s="37">
        <f t="shared" si="0"/>
        <v>1315.0658654000001</v>
      </c>
      <c r="C12" s="33"/>
      <c r="D12" s="37">
        <f>IF(ISERROR(TER_rest_gas_kWh/1000),0,TER_rest_gas_kWh/1000)*0.902</f>
        <v>2985.0596785921998</v>
      </c>
      <c r="E12" s="33">
        <f>$C$32*'E Balans VL '!I8/100/3.6*1000000</f>
        <v>23.153722424350708</v>
      </c>
      <c r="F12" s="33">
        <f>$C$32*('E Balans VL '!L8+'E Balans VL '!N8)/100/3.6*1000000</f>
        <v>338.80216045483996</v>
      </c>
      <c r="G12" s="34"/>
      <c r="H12" s="33"/>
      <c r="I12" s="33"/>
      <c r="J12" s="33">
        <f>$C$32*('E Balans VL '!D8+'E Balans VL '!E8)/100/3.6*1000000</f>
        <v>0</v>
      </c>
      <c r="K12" s="33"/>
      <c r="L12" s="33"/>
      <c r="M12" s="33"/>
      <c r="N12" s="33">
        <f>$C$32*'E Balans VL '!Y8/100/3.6*1000000</f>
        <v>116.04398604458224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9408.8416173469996</v>
      </c>
      <c r="C16" s="21">
        <f t="shared" ca="1" si="1"/>
        <v>0</v>
      </c>
      <c r="D16" s="21">
        <f t="shared" ca="1" si="1"/>
        <v>15645.753782922999</v>
      </c>
      <c r="E16" s="21">
        <f t="shared" si="1"/>
        <v>159.02992387451664</v>
      </c>
      <c r="F16" s="21">
        <f t="shared" ca="1" si="1"/>
        <v>2355.0009241270359</v>
      </c>
      <c r="G16" s="21">
        <f t="shared" si="1"/>
        <v>0</v>
      </c>
      <c r="H16" s="21">
        <f t="shared" si="1"/>
        <v>0</v>
      </c>
      <c r="I16" s="21">
        <f t="shared" si="1"/>
        <v>0</v>
      </c>
      <c r="J16" s="21">
        <f t="shared" si="1"/>
        <v>0</v>
      </c>
      <c r="K16" s="21">
        <f t="shared" si="1"/>
        <v>0</v>
      </c>
      <c r="L16" s="21">
        <f t="shared" ca="1" si="1"/>
        <v>0</v>
      </c>
      <c r="M16" s="21">
        <f t="shared" si="1"/>
        <v>0</v>
      </c>
      <c r="N16" s="21">
        <f t="shared" ca="1" si="1"/>
        <v>1143.7854844573578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0.21210592763550484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1995.6710792229289</v>
      </c>
      <c r="C20" s="23">
        <f t="shared" ref="C20:P20" ca="1" si="2">C16*C18</f>
        <v>0</v>
      </c>
      <c r="D20" s="23">
        <f t="shared" ca="1" si="2"/>
        <v>3160.4422641504461</v>
      </c>
      <c r="E20" s="23">
        <f t="shared" si="2"/>
        <v>36.099792719515278</v>
      </c>
      <c r="F20" s="23">
        <f t="shared" ca="1" si="2"/>
        <v>628.78524674191863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4101.7513357999997</v>
      </c>
      <c r="C26" s="39">
        <f>IF(ISERROR(B26*3.6/1000000/'E Balans VL '!Z12*100),0,B26*3.6/1000000/'E Balans VL '!Z12*100)</f>
        <v>8.7862700139366937E-2</v>
      </c>
      <c r="D26" s="237" t="s">
        <v>660</v>
      </c>
      <c r="F26" s="6"/>
    </row>
    <row r="27" spans="1:18">
      <c r="A27" s="231" t="s">
        <v>53</v>
      </c>
      <c r="B27" s="33">
        <f>IF(ISERROR(TER_horeca_ele_kWh/1000),0,TER_horeca_ele_kWh/1000)</f>
        <v>606.56744742000001</v>
      </c>
      <c r="C27" s="39">
        <f>IF(ISERROR(B27*3.6/1000000/'E Balans VL '!Z9*100),0,B27*3.6/1000000/'E Balans VL '!Z9*100)</f>
        <v>4.8674929248528627E-2</v>
      </c>
      <c r="D27" s="237" t="s">
        <v>660</v>
      </c>
      <c r="F27" s="6"/>
    </row>
    <row r="28" spans="1:18">
      <c r="A28" s="171" t="s">
        <v>52</v>
      </c>
      <c r="B28" s="33">
        <f>IF(ISERROR(TER_handel_ele_kWh/1000),0,TER_handel_ele_kWh/1000)</f>
        <v>1903.0467461999999</v>
      </c>
      <c r="C28" s="39">
        <f>IF(ISERROR(B28*3.6/1000000/'E Balans VL '!Z13*100),0,B28*3.6/1000000/'E Balans VL '!Z13*100)</f>
        <v>5.6128963572145356E-2</v>
      </c>
      <c r="D28" s="237" t="s">
        <v>660</v>
      </c>
      <c r="F28" s="6"/>
    </row>
    <row r="29" spans="1:18">
      <c r="A29" s="231" t="s">
        <v>51</v>
      </c>
      <c r="B29" s="33">
        <f>IF(ISERROR(TER_gezond_ele_kWh/1000),0,TER_gezond_ele_kWh/1000)</f>
        <v>144.09338535000001</v>
      </c>
      <c r="C29" s="39">
        <f>IF(ISERROR(B29*3.6/1000000/'E Balans VL '!Z10*100),0,B29*3.6/1000000/'E Balans VL '!Z10*100)</f>
        <v>1.5385310266846641E-2</v>
      </c>
      <c r="D29" s="237" t="s">
        <v>660</v>
      </c>
      <c r="F29" s="6"/>
    </row>
    <row r="30" spans="1:18">
      <c r="A30" s="231" t="s">
        <v>50</v>
      </c>
      <c r="B30" s="33">
        <f>IF(ISERROR(TER_ander_ele_kWh/1000),0,TER_ander_ele_kWh/1000)</f>
        <v>1293.6022501</v>
      </c>
      <c r="C30" s="39">
        <f>IF(ISERROR(B30*3.6/1000000/'E Balans VL '!Z14*100),0,B30*3.6/1000000/'E Balans VL '!Z14*100)</f>
        <v>9.7710857721188066E-2</v>
      </c>
      <c r="D30" s="237" t="s">
        <v>660</v>
      </c>
      <c r="F30" s="6"/>
    </row>
    <row r="31" spans="1:18">
      <c r="A31" s="231" t="s">
        <v>55</v>
      </c>
      <c r="B31" s="33">
        <f>IF(ISERROR(TER_onderwijs_ele_kWh/1000),0,TER_onderwijs_ele_kWh/1000)</f>
        <v>44.714587076999997</v>
      </c>
      <c r="C31" s="39">
        <f>IF(ISERROR(B31*3.6/1000000/'E Balans VL '!Z11*100),0,B31*3.6/1000000/'E Balans VL '!Z11*100)</f>
        <v>9.0293678190793824E-3</v>
      </c>
      <c r="D31" s="237" t="s">
        <v>660</v>
      </c>
    </row>
    <row r="32" spans="1:18">
      <c r="A32" s="231" t="s">
        <v>260</v>
      </c>
      <c r="B32" s="33">
        <f>IF(ISERROR(TER_rest_ele_kWh/1000),0,TER_rest_ele_kWh/1000)</f>
        <v>1315.0658654000001</v>
      </c>
      <c r="C32" s="39">
        <f>IF(ISERROR(B32*3.6/1000000/'E Balans VL '!Z8*100),0,B32*3.6/1000000/'E Balans VL '!Z8*100)</f>
        <v>1.090372724017296E-2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708.79537782199998</v>
      </c>
      <c r="C5" s="17">
        <f>IF(ISERROR('Eigen informatie GS &amp; warmtenet'!B59),0,'Eigen informatie GS &amp; warmtenet'!B59)</f>
        <v>0</v>
      </c>
      <c r="D5" s="30">
        <f>SUM(D6:D15)</f>
        <v>1452.6325281305201</v>
      </c>
      <c r="E5" s="17">
        <f>SUM(E6:E15)</f>
        <v>98.676031246466337</v>
      </c>
      <c r="F5" s="17">
        <f>SUM(F6:F15)</f>
        <v>368.63384299716643</v>
      </c>
      <c r="G5" s="18"/>
      <c r="H5" s="17"/>
      <c r="I5" s="17"/>
      <c r="J5" s="17">
        <f>SUM(J6:J15)</f>
        <v>6.5876870083161165</v>
      </c>
      <c r="K5" s="17"/>
      <c r="L5" s="17"/>
      <c r="M5" s="17"/>
      <c r="N5" s="17">
        <f>SUM(N6:N15)</f>
        <v>297.83187675518099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71.524615988000008</v>
      </c>
      <c r="C8" s="33"/>
      <c r="D8" s="37">
        <f>IF( ISERROR(IND_metaal_Gas_kWH/1000),0,IND_metaal_Gas_kWH/1000)*0.902</f>
        <v>0</v>
      </c>
      <c r="E8" s="33">
        <f>C30*'E Balans VL '!I18/100/3.6*1000000</f>
        <v>2.5736720598793443</v>
      </c>
      <c r="F8" s="33">
        <f>C30*'E Balans VL '!L18/100/3.6*1000000+C30*'E Balans VL '!N18/100/3.6*1000000</f>
        <v>31.232481223364843</v>
      </c>
      <c r="G8" s="34"/>
      <c r="H8" s="33"/>
      <c r="I8" s="33"/>
      <c r="J8" s="40">
        <f>C30*'E Balans VL '!D18/100/3.6*1000000+C30*'E Balans VL '!E18/100/3.6*1000000</f>
        <v>0</v>
      </c>
      <c r="K8" s="33"/>
      <c r="L8" s="33"/>
      <c r="M8" s="33"/>
      <c r="N8" s="33">
        <f>C30*'E Balans VL '!Y18/100/3.6*1000000</f>
        <v>3.5847651471917108</v>
      </c>
      <c r="O8" s="33"/>
      <c r="P8" s="33"/>
      <c r="R8" s="32"/>
    </row>
    <row r="9" spans="1:18">
      <c r="A9" s="6" t="s">
        <v>33</v>
      </c>
      <c r="B9" s="37">
        <f t="shared" si="0"/>
        <v>330.80265843000001</v>
      </c>
      <c r="C9" s="33"/>
      <c r="D9" s="37">
        <f>IF( ISERROR(IND_andere_gas_kWh/1000),0,IND_andere_gas_kWh/1000)*0.902</f>
        <v>373.52196816814001</v>
      </c>
      <c r="E9" s="33">
        <f>C31*'E Balans VL '!I19/100/3.6*1000000</f>
        <v>84.413353811552597</v>
      </c>
      <c r="F9" s="33">
        <f>C31*'E Balans VL '!L19/100/3.6*1000000+C31*'E Balans VL '!N19/100/3.6*1000000</f>
        <v>284.79622481378942</v>
      </c>
      <c r="G9" s="34"/>
      <c r="H9" s="33"/>
      <c r="I9" s="33"/>
      <c r="J9" s="40">
        <f>C31*'E Balans VL '!D19/100/3.6*1000000+C31*'E Balans VL '!E19/100/3.6*1000000</f>
        <v>0</v>
      </c>
      <c r="K9" s="33"/>
      <c r="L9" s="33"/>
      <c r="M9" s="33"/>
      <c r="N9" s="33">
        <f>C31*'E Balans VL '!Y19/100/3.6*1000000</f>
        <v>103.45332009894537</v>
      </c>
      <c r="O9" s="33"/>
      <c r="P9" s="33"/>
      <c r="R9" s="32"/>
    </row>
    <row r="10" spans="1:18">
      <c r="A10" s="6" t="s">
        <v>41</v>
      </c>
      <c r="B10" s="37">
        <f t="shared" si="0"/>
        <v>40.801138797</v>
      </c>
      <c r="C10" s="33"/>
      <c r="D10" s="37">
        <f>IF( ISERROR(IND_voed_gas_kWh/1000),0,IND_voed_gas_kWh/1000)*0.902</f>
        <v>206.50967927369999</v>
      </c>
      <c r="E10" s="33">
        <f>C32*'E Balans VL '!I20/100/3.6*1000000</f>
        <v>1.0372209727744257</v>
      </c>
      <c r="F10" s="33">
        <f>C32*'E Balans VL '!L20/100/3.6*1000000+C32*'E Balans VL '!N20/100/3.6*1000000</f>
        <v>9.2326852318476291</v>
      </c>
      <c r="G10" s="34"/>
      <c r="H10" s="33"/>
      <c r="I10" s="33"/>
      <c r="J10" s="40">
        <f>C32*'E Balans VL '!D20/100/3.6*1000000+C32*'E Balans VL '!E20/100/3.6*1000000</f>
        <v>0</v>
      </c>
      <c r="K10" s="33"/>
      <c r="L10" s="33"/>
      <c r="M10" s="33"/>
      <c r="N10" s="33">
        <f>C32*'E Balans VL '!Y20/100/3.6*1000000</f>
        <v>15.301533007243483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75.35843277699999</v>
      </c>
      <c r="C13" s="33"/>
      <c r="D13" s="37">
        <f>IF( ISERROR(IND_papier_gas_kWh/1000),0,IND_papier_gas_kWh/1000)*0.902</f>
        <v>185.31860451170002</v>
      </c>
      <c r="E13" s="33">
        <f>C35*'E Balans VL '!I23/100/3.6*1000000</f>
        <v>0.32319039507231612</v>
      </c>
      <c r="F13" s="33">
        <f>C35*'E Balans VL '!L23/100/3.6*1000000+C35*'E Balans VL '!N23/100/3.6*1000000</f>
        <v>1.893991313371413</v>
      </c>
      <c r="G13" s="34"/>
      <c r="H13" s="33"/>
      <c r="I13" s="33"/>
      <c r="J13" s="40">
        <f>C35*'E Balans VL '!D23/100/3.6*1000000+C35*'E Balans VL '!E23/100/3.6*1000000</f>
        <v>5.0448337504188467</v>
      </c>
      <c r="K13" s="33"/>
      <c r="L13" s="33"/>
      <c r="M13" s="33"/>
      <c r="N13" s="33">
        <f>C35*'E Balans VL '!Y23/100/3.6*1000000</f>
        <v>137.17026857317987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190.30853182999999</v>
      </c>
      <c r="C15" s="33"/>
      <c r="D15" s="37">
        <f>IF( ISERROR(IND_rest_gas_kWh/1000),0,IND_rest_gas_kWh/1000)*0.902</f>
        <v>687.28227617698008</v>
      </c>
      <c r="E15" s="33">
        <f>C37*'E Balans VL '!I15/100/3.6*1000000</f>
        <v>10.328594007187666</v>
      </c>
      <c r="F15" s="33">
        <f>C37*'E Balans VL '!L15/100/3.6*1000000+C37*'E Balans VL '!N15/100/3.6*1000000</f>
        <v>41.478460414793076</v>
      </c>
      <c r="G15" s="34"/>
      <c r="H15" s="33"/>
      <c r="I15" s="33"/>
      <c r="J15" s="40">
        <f>C37*'E Balans VL '!D15/100/3.6*1000000+C37*'E Balans VL '!E15/100/3.6*1000000</f>
        <v>1.5428532578972693</v>
      </c>
      <c r="K15" s="33"/>
      <c r="L15" s="33"/>
      <c r="M15" s="33"/>
      <c r="N15" s="33">
        <f>C37*'E Balans VL '!Y15/100/3.6*1000000</f>
        <v>38.321989928620553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708.79537782199998</v>
      </c>
      <c r="C18" s="21">
        <f>C5+C16</f>
        <v>0</v>
      </c>
      <c r="D18" s="21">
        <f>MAX((D5+D16),0)</f>
        <v>1452.6325281305201</v>
      </c>
      <c r="E18" s="21">
        <f>MAX((E5+E16),0)</f>
        <v>98.676031246466337</v>
      </c>
      <c r="F18" s="21">
        <f>MAX((F5+F16),0)</f>
        <v>368.63384299716643</v>
      </c>
      <c r="G18" s="21"/>
      <c r="H18" s="21"/>
      <c r="I18" s="21"/>
      <c r="J18" s="21">
        <f>MAX((J5+J16),0)</f>
        <v>6.5876870083161165</v>
      </c>
      <c r="K18" s="21"/>
      <c r="L18" s="21">
        <f>MAX((L5+L16),0)</f>
        <v>0</v>
      </c>
      <c r="M18" s="21"/>
      <c r="N18" s="21">
        <f>MAX((N5+N16),0)</f>
        <v>297.83187675518099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0.21210592763550484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150.33970111669345</v>
      </c>
      <c r="C22" s="23">
        <f ca="1">C18*C20</f>
        <v>0</v>
      </c>
      <c r="D22" s="23">
        <f>D18*D20</f>
        <v>293.43177068236508</v>
      </c>
      <c r="E22" s="23">
        <f>E18*E20</f>
        <v>22.399459092947858</v>
      </c>
      <c r="F22" s="23">
        <f>F18*F20</f>
        <v>98.425236080243437</v>
      </c>
      <c r="G22" s="23"/>
      <c r="H22" s="23"/>
      <c r="I22" s="23"/>
      <c r="J22" s="23">
        <f>J18*J20</f>
        <v>2.3320412009439053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71.524615988000008</v>
      </c>
      <c r="C30" s="39">
        <f>IF(ISERROR(B30*3.6/1000000/'E Balans VL '!Z18*100),0,B30*3.6/1000000/'E Balans VL '!Z18*100)</f>
        <v>1.5154532680505256E-2</v>
      </c>
      <c r="D30" s="237" t="s">
        <v>660</v>
      </c>
    </row>
    <row r="31" spans="1:18">
      <c r="A31" s="6" t="s">
        <v>33</v>
      </c>
      <c r="B31" s="37">
        <f>IF( ISERROR(IND_ander_ele_kWh/1000),0,IND_ander_ele_kWh/1000)</f>
        <v>330.80265843000001</v>
      </c>
      <c r="C31" s="39">
        <f>IF(ISERROR(B31*3.6/1000000/'E Balans VL '!Z19*100),0,B31*3.6/1000000/'E Balans VL '!Z19*100)</f>
        <v>1.3924235035382159E-2</v>
      </c>
      <c r="D31" s="237" t="s">
        <v>660</v>
      </c>
    </row>
    <row r="32" spans="1:18">
      <c r="A32" s="171" t="s">
        <v>41</v>
      </c>
      <c r="B32" s="37">
        <f>IF( ISERROR(IND_voed_ele_kWh/1000),0,IND_voed_ele_kWh/1000)</f>
        <v>40.801138797</v>
      </c>
      <c r="C32" s="39">
        <f>IF(ISERROR(B32*3.6/1000000/'E Balans VL '!Z20*100),0,B32*3.6/1000000/'E Balans VL '!Z20*100)</f>
        <v>6.8162918691747464E-3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75.35843277699999</v>
      </c>
      <c r="C35" s="39">
        <f>IF(ISERROR(B35*3.6/1000000/'E Balans VL '!Z22*100),0,B35*3.6/1000000/'E Balans VL '!Z22*100)</f>
        <v>9.552087761312408E-3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190.30853182999999</v>
      </c>
      <c r="C37" s="39">
        <f>IF(ISERROR(B37*3.6/1000000/'E Balans VL '!Z15*100),0,B37*3.6/1000000/'E Balans VL '!Z15*100)</f>
        <v>1.5364344683046415E-3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78.291395817999984</v>
      </c>
      <c r="C5" s="17">
        <f>'Eigen informatie GS &amp; warmtenet'!B60</f>
        <v>0</v>
      </c>
      <c r="D5" s="30">
        <f>IF(ISERROR(SUM(LB_lb_gas_kWh,LB_rest_gas_kWh,onbekend_gas_kWh)/1000),0,SUM(LB_lb_gas_kWh,LB_rest_gas_kWh,onbekend_gas_kWh)/1000)*0.902</f>
        <v>1181.906389298932</v>
      </c>
      <c r="E5" s="17">
        <f>B17*'E Balans VL '!I25/3.6*1000000/100</f>
        <v>2.0188344939405609</v>
      </c>
      <c r="F5" s="17">
        <f>B17*('E Balans VL '!L25/3.6*1000000+'E Balans VL '!N25/3.6*1000000)/100</f>
        <v>286.16996158684452</v>
      </c>
      <c r="G5" s="18"/>
      <c r="H5" s="17"/>
      <c r="I5" s="17"/>
      <c r="J5" s="17">
        <f>('E Balans VL '!D25+'E Balans VL '!E25)/3.6*1000000*landbouw!B17/100</f>
        <v>11.271080919062189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78.291395817999984</v>
      </c>
      <c r="C8" s="21">
        <f>C5+C6</f>
        <v>0</v>
      </c>
      <c r="D8" s="21">
        <f>MAX((D5+D6),0)</f>
        <v>1181.906389298932</v>
      </c>
      <c r="E8" s="21">
        <f>MAX((E5+E6),0)</f>
        <v>2.0188344939405609</v>
      </c>
      <c r="F8" s="21">
        <f>MAX((F5+F6),0)</f>
        <v>286.16996158684452</v>
      </c>
      <c r="G8" s="21"/>
      <c r="H8" s="21"/>
      <c r="I8" s="21"/>
      <c r="J8" s="21">
        <f>MAX((J5+J6),0)</f>
        <v>11.271080919062189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0.21210592763550484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16.606069135855371</v>
      </c>
      <c r="C12" s="23">
        <f ca="1">C8*C10</f>
        <v>0</v>
      </c>
      <c r="D12" s="23">
        <f>D8*D10</f>
        <v>238.74509063838428</v>
      </c>
      <c r="E12" s="23">
        <f>E8*E10</f>
        <v>0.45827543012450733</v>
      </c>
      <c r="F12" s="23">
        <f>F8*F10</f>
        <v>76.407379743687486</v>
      </c>
      <c r="G12" s="23"/>
      <c r="H12" s="23"/>
      <c r="I12" s="23"/>
      <c r="J12" s="23">
        <f>J8*J10</f>
        <v>3.9899626453480148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1.1039605400915607E-2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11.647449636120735</v>
      </c>
      <c r="C26" s="247">
        <f>B26*'GWP N2O_CH4'!B5</f>
        <v>244.59644235853543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0.75282562118992336</v>
      </c>
      <c r="C27" s="247">
        <f>B27*'GWP N2O_CH4'!B5</f>
        <v>15.80933804498839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0.13604919940225521</v>
      </c>
      <c r="C28" s="247">
        <f>B28*'GWP N2O_CH4'!B4</f>
        <v>42.175251814699116</v>
      </c>
      <c r="D28" s="50"/>
    </row>
    <row r="29" spans="1:4">
      <c r="A29" s="41" t="s">
        <v>277</v>
      </c>
      <c r="B29" s="247">
        <f>B34*'ha_N2O bodem landbouw'!B4</f>
        <v>0.62705251253832395</v>
      </c>
      <c r="C29" s="247">
        <f>B29*'GWP N2O_CH4'!B4</f>
        <v>194.38627888688043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1.4112089034587608E-4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1.9002310716821193E-4</v>
      </c>
      <c r="C5" s="463" t="s">
        <v>211</v>
      </c>
      <c r="D5" s="448">
        <f>SUM(D6:D11)</f>
        <v>4.3812511895772576E-4</v>
      </c>
      <c r="E5" s="448">
        <f>SUM(E6:E11)</f>
        <v>1.9670134673779212E-3</v>
      </c>
      <c r="F5" s="461" t="s">
        <v>211</v>
      </c>
      <c r="G5" s="448">
        <f>SUM(G6:G11)</f>
        <v>0.55941710905845377</v>
      </c>
      <c r="H5" s="448">
        <f>SUM(H6:H11)</f>
        <v>0.12097919224330669</v>
      </c>
      <c r="I5" s="463" t="s">
        <v>211</v>
      </c>
      <c r="J5" s="463" t="s">
        <v>211</v>
      </c>
      <c r="K5" s="463" t="s">
        <v>211</v>
      </c>
      <c r="L5" s="463" t="s">
        <v>211</v>
      </c>
      <c r="M5" s="448">
        <f>SUM(M6:M11)</f>
        <v>2.1249513132550763E-2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2.2099040460350971E-5</v>
      </c>
      <c r="C6" s="449"/>
      <c r="D6" s="962">
        <f>vkm_2011_GW_PW*SUMIFS(TableVerdeelsleutelVkm[CNG],TableVerdeelsleutelVkm[Voertuigtype],"Lichte voertuigen")*SUMIFS(TableECFTransport[EnergieConsumptieFactor (PJ per km)],TableECFTransport[Index],CONCATENATE($A6,"_CNG_CNG"))</f>
        <v>4.3911180493321163E-5</v>
      </c>
      <c r="E6" s="962">
        <f>vkm_2011_GW_PW*SUMIFS(TableVerdeelsleutelVkm[LPG],TableVerdeelsleutelVkm[Voertuigtype],"Lichte voertuigen")*SUMIFS(TableECFTransport[EnergieConsumptieFactor (PJ per km)],TableECFTransport[Index],CONCATENATE($A6,"_LPG_LPG"))</f>
        <v>1.7280623621941161E-4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4.1087393645262239E-2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1.1888077598201799E-2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1.6507646022117252E-3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1.0415120397782937E-2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3.3645287548100558E-6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3.281645078076967E-4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3.1230951578763307E-5</v>
      </c>
      <c r="C8" s="449"/>
      <c r="D8" s="451">
        <f>vkm_2011_NGW_PW*SUMIFS(TableVerdeelsleutelVkm[CNG],TableVerdeelsleutelVkm[Voertuigtype],"Lichte voertuigen")*SUMIFS(TableECFTransport[EnergieConsumptieFactor (PJ per km)],TableECFTransport[Index],CONCATENATE($A8,"_CNG_CNG"))</f>
        <v>1.098793315430164E-4</v>
      </c>
      <c r="E8" s="451">
        <f>vkm_2011_NGW_PW*SUMIFS(TableVerdeelsleutelVkm[LPG],TableVerdeelsleutelVkm[Voertuigtype],"Lichte voertuigen")*SUMIFS(TableECFTransport[EnergieConsumptieFactor (PJ per km)],TableECFTransport[Index],CONCATENATE($A8,"_LPG_LPG"))</f>
        <v>3.9990707410678106E-4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8.8790612248847045E-2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2.8844933529473323E-2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3.6619486375066412E-3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1.293233458092841E-2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3.950937869100989E-6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4.0747127396798341E-4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1.3669311512909765E-4</v>
      </c>
      <c r="C10" s="449"/>
      <c r="D10" s="451">
        <f>vkm_2011_SW_PW*SUMIFS(TableVerdeelsleutelVkm[CNG],TableVerdeelsleutelVkm[Voertuigtype],"Lichte voertuigen")*SUMIFS(TableECFTransport[EnergieConsumptieFactor (PJ per km)],TableECFTransport[Index],CONCATENATE($A10,"_CNG_CNG"))</f>
        <v>2.8433460692138822E-4</v>
      </c>
      <c r="E10" s="451">
        <f>vkm_2011_SW_PW*SUMIFS(TableVerdeelsleutelVkm[LPG],TableVerdeelsleutelVkm[Voertuigtype],"Lichte voertuigen")*SUMIFS(TableECFTransport[EnergieConsumptieFactor (PJ per km)],TableECFTransport[Index],CONCATENATE($A10,"_LPG_LPG"))</f>
        <v>1.3943001570517284E-3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0.29696992462223315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8.0200850100832152E-2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1.1759672769641551E-2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0.10922172356339997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3.8015548175500727E-5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3.4414913414151688E-3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52.784196435614426</v>
      </c>
      <c r="C14" s="21"/>
      <c r="D14" s="21">
        <f t="shared" ref="D14:M14" si="0">((D5)*10^9/3600)+D12</f>
        <v>121.70142193270161</v>
      </c>
      <c r="E14" s="21">
        <f t="shared" si="0"/>
        <v>546.39262982720027</v>
      </c>
      <c r="F14" s="21"/>
      <c r="G14" s="21">
        <f t="shared" si="0"/>
        <v>155393.64140512605</v>
      </c>
      <c r="H14" s="21">
        <f t="shared" si="0"/>
        <v>33605.331178696302</v>
      </c>
      <c r="I14" s="21"/>
      <c r="J14" s="21"/>
      <c r="K14" s="21"/>
      <c r="L14" s="21"/>
      <c r="M14" s="21">
        <f t="shared" si="0"/>
        <v>5902.6425368196569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0.21210592763550484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11.195840949470707</v>
      </c>
      <c r="C18" s="23"/>
      <c r="D18" s="23">
        <f t="shared" ref="D18:M18" si="1">D14*D16</f>
        <v>24.583687230405726</v>
      </c>
      <c r="E18" s="23">
        <f t="shared" si="1"/>
        <v>124.03112697077447</v>
      </c>
      <c r="F18" s="23"/>
      <c r="G18" s="23">
        <f t="shared" si="1"/>
        <v>41490.102255168655</v>
      </c>
      <c r="H18" s="23">
        <f t="shared" si="1"/>
        <v>8367.7274634953792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4.1607112164096178E-3</v>
      </c>
      <c r="H50" s="321">
        <f t="shared" si="2"/>
        <v>0</v>
      </c>
      <c r="I50" s="321">
        <f t="shared" si="2"/>
        <v>0</v>
      </c>
      <c r="J50" s="321">
        <f t="shared" si="2"/>
        <v>0</v>
      </c>
      <c r="K50" s="321">
        <f t="shared" si="2"/>
        <v>0</v>
      </c>
      <c r="L50" s="321">
        <f t="shared" si="2"/>
        <v>0</v>
      </c>
      <c r="M50" s="321">
        <f t="shared" si="2"/>
        <v>1.2905595366441913E-4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4.1607112164096178E-3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1.2905595366441913E-4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1155.7531156693383</v>
      </c>
      <c r="H54" s="21">
        <f t="shared" si="3"/>
        <v>0</v>
      </c>
      <c r="I54" s="21">
        <f t="shared" si="3"/>
        <v>0</v>
      </c>
      <c r="J54" s="21">
        <f t="shared" si="3"/>
        <v>0</v>
      </c>
      <c r="K54" s="21">
        <f t="shared" si="3"/>
        <v>0</v>
      </c>
      <c r="L54" s="21">
        <f t="shared" si="3"/>
        <v>0</v>
      </c>
      <c r="M54" s="21">
        <f t="shared" si="3"/>
        <v>35.848876017894199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0.21210592763550484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308.58608188371335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1168.2669463038158</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1168.2669463038158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2018-06-27T09:41:28Z</dcterms:modified>
</cp:coreProperties>
</file>