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H14" i="22"/>
  <c r="I19" i="14" s="1"/>
  <c r="I20" s="1"/>
  <c r="I23" s="1"/>
  <c r="E7" i="48"/>
  <c r="E24" s="1"/>
  <c r="E12" i="17"/>
  <c r="F48" i="14" s="1"/>
  <c r="P41"/>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5" i="48"/>
  <c r="J22" s="1"/>
  <c r="D31"/>
  <c r="J20" i="15"/>
  <c r="K36" i="14" s="1"/>
  <c r="M16" i="18"/>
  <c r="M19"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C29" i="20"/>
  <c r="C17" i="49"/>
  <c r="N22" i="16"/>
  <c r="O39" i="14" s="1"/>
  <c r="O41" s="1"/>
  <c r="F8" i="48"/>
  <c r="Q4"/>
  <c r="N22"/>
  <c r="R11" i="14"/>
  <c r="J21" i="48"/>
  <c r="R10" i="14"/>
  <c r="J8" i="48" l="1"/>
  <c r="J25" s="1"/>
  <c r="J31" s="1"/>
  <c r="C56" i="22"/>
  <c r="C58" s="1"/>
  <c r="D44" i="14" s="1"/>
  <c r="D46" s="1"/>
  <c r="C10" i="17"/>
  <c r="C12" s="1"/>
  <c r="D48" i="14" s="1"/>
  <c r="Q5" i="48"/>
  <c r="C16" i="22"/>
  <c r="O13" i="14"/>
  <c r="O15" s="1"/>
  <c r="C10" i="13"/>
  <c r="C16" i="48" s="1"/>
  <c r="C30" s="1"/>
  <c r="F13" i="14"/>
  <c r="F15" s="1"/>
  <c r="F23" s="1"/>
  <c r="F55" s="1"/>
  <c r="F22" i="16"/>
  <c r="G39" i="14" s="1"/>
  <c r="G41" s="1"/>
  <c r="G53" s="1"/>
  <c r="G55" s="1"/>
  <c r="O69" s="1"/>
  <c r="B9" i="6" s="1"/>
  <c r="B12" s="1"/>
  <c r="N25" i="48"/>
  <c r="N31" s="1"/>
  <c r="N14"/>
  <c r="E25"/>
  <c r="E31" s="1"/>
  <c r="E14"/>
  <c r="K13" i="14"/>
  <c r="K15" s="1"/>
  <c r="K23" s="1"/>
  <c r="K55" s="1"/>
  <c r="H55"/>
  <c r="E55"/>
  <c r="C78"/>
  <c r="C81" s="1"/>
  <c r="R19"/>
  <c r="R20" s="1"/>
  <c r="H14" i="48"/>
  <c r="G31"/>
  <c r="H26"/>
  <c r="H31" s="1"/>
  <c r="O53" i="14"/>
  <c r="M53"/>
  <c r="M55" s="1"/>
  <c r="C23" i="48"/>
  <c r="C24"/>
  <c r="C26"/>
  <c r="F25"/>
  <c r="F31" s="1"/>
  <c r="F14"/>
  <c r="R13" i="14" l="1"/>
  <c r="R15" s="1"/>
  <c r="R23" s="1"/>
  <c r="C27" i="48"/>
  <c r="C28"/>
  <c r="C22"/>
  <c r="J14"/>
  <c r="C25"/>
  <c r="C31" s="1"/>
  <c r="C29"/>
  <c r="Q8"/>
  <c r="Q14" s="1"/>
  <c r="C21"/>
  <c r="C12" i="13"/>
  <c r="D37" i="14" s="1"/>
  <c r="D41"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<sst xmlns="http://schemas.openxmlformats.org/spreadsheetml/2006/main" count="1951" uniqueCount="836">
  <si>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</si>
  <si>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</si>
  <si>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</si>
  <si>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</si>
  <si>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</si>
  <si>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</si>
  <si>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</si>
  <si>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</si>
  <si>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</si>
  <si>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</si>
  <si>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</si>
  <si>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</si>
  <si>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</si>
  <si>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</si>
  <si>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</si>
  <si>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</si>
  <si>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</si>
  <si>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</si>
  <si>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</si>
  <si>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</si>
  <si>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</si>
  <si>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</si>
  <si>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</si>
  <si>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</si>
  <si>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</si>
  <si>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</si>
  <si>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</si>
  <si>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</si>
  <si>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</si>
  <si>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</si>
  <si>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</si>
  <si>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</si>
  <si>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</si>
  <si>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</si>
  <si>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</si>
  <si>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</si>
  <si>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</si>
  <si>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</si>
  <si>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</si>
  <si>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</si>
  <si>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</si>
  <si>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</si>
  <si>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</si>
  <si>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</si>
  <si>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</si>
  <si>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</si>
  <si>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</si>
  <si>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</si>
  <si>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</si>
  <si>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</si>
  <si>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</si>
  <si>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</si>
  <si>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</si>
  <si>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</si>
  <si>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</si>
  <si>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</si>
  <si>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</si>
  <si>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</si>
  <si>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</si>
  <si>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</si>
  <si>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</si>
  <si>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</si>
  <si>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</si>
  <si>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</si>
  <si>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</si>
  <si>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</si>
  <si>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</si>
  <si>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</si>
  <si>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</si>
  <si>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</si>
  <si>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</si>
  <si>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</si>
  <si>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</si>
  <si>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</si>
  <si>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</si>
  <si>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</si>
  <si>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</si>
  <si>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</si>
  <si>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</si>
  <si>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</si>
  <si>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</si>
  <si>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</si>
  <si>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</si>
  <si>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</si>
  <si>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</si>
  <si>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</si>
  <si>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</si>
  <si>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</si>
  <si>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</si>
  <si>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</si>
  <si>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</si>
  <si>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</si>
  <si>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</si>
  <si>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</si>
  <si>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</si>
  <si>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</si>
  <si>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</si>
  <si>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</si>
  <si>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</si>
  <si>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</si>
  <si>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</si>
  <si>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</si>
  <si>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</si>
  <si>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</si>
  <si>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</si>
  <si>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</si>
  <si>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</si>
  <si>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</si>
  <si>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</si>
  <si>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</si>
  <si>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</si>
  <si>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</si>
  <si>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</si>
  <si>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</si>
  <si>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</si>
  <si>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</si>
  <si>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</si>
  <si>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</si>
  <si>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</si>
  <si>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</si>
  <si>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</si>
  <si>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</si>
  <si>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</si>
  <si>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</si>
  <si>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</si>
  <si>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</si>
  <si>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</si>
  <si>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</si>
  <si>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</si>
  <si>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</si>
  <si>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</si>
  <si>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</si>
  <si>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</si>
  <si>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</si>
  <si>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</si>
  <si>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</si>
  <si>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</si>
  <si>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</si>
  <si>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</si>
  <si>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</si>
  <si>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</si>
  <si>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</si>
  <si>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</si>
  <si>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</si>
  <si>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</si>
  <si>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</si>
  <si>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</si>
  <si>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</si>
  <si>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</si>
  <si>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</si>
  <si>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</si>
  <si>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</si>
  <si>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</si>
  <si>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</si>
  <si>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</si>
  <si>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</si>
  <si>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</si>
  <si>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</si>
  <si>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</si>
  <si>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</si>
  <si>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</si>
  <si>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</si>
  <si>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</si>
  <si>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</si>
  <si>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</si>
  <si>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</si>
  <si>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</si>
  <si>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</si>
  <si>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</si>
  <si>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</si>
  <si>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</si>
  <si>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</si>
  <si>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</si>
  <si>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</si>
  <si>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</si>
  <si>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</si>
  <si>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</si>
  <si>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</si>
  <si>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</si>
  <si>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</si>
  <si>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</si>
  <si>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</si>
  <si>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</si>
  <si>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</si>
  <si>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</si>
  <si>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</si>
  <si>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</si>
  <si>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</si>
  <si>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</si>
  <si>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</si>
  <si>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</si>
  <si>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</si>
  <si>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</si>
  <si>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</si>
  <si>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</si>
  <si>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</si>
  <si>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</si>
  <si>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</si>
  <si>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</si>
  <si>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</si>
  <si>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</si>
  <si>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</si>
  <si>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</si>
  <si>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</si>
  <si>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</si>
  <si>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</si>
  <si>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</si>
  <si>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</si>
  <si>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</si>
  <si>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</si>
  <si>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</si>
  <si>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</si>
  <si>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</si>
  <si>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</si>
  <si>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</si>
  <si>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</si>
  <si>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</si>
  <si>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</si>
  <si>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</si>
  <si>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</si>
  <si>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</si>
  <si>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</si>
  <si>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</si>
  <si>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</si>
  <si>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</si>
  <si>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</si>
  <si>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</si>
  <si>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</si>
  <si>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</si>
  <si>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</si>
  <si>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</si>
  <si>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</si>
  <si>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</si>
  <si>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</si>
  <si>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</si>
  <si>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</si>
  <si>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</si>
  <si>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</si>
  <si>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</si>
  <si>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</si>
  <si>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</si>
  <si>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</si>
  <si>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</si>
  <si>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</si>
  <si>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</si>
  <si>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</si>
  <si>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</si>
  <si>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</si>
  <si>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</si>
  <si>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</si>
  <si>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</si>
  <si>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</si>
  <si>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</si>
  <si>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</si>
  <si>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</si>
  <si>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</si>
  <si>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</si>
  <si>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</si>
  <si>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</si>
  <si>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</si>
  <si>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</si>
  <si>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</si>
  <si>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</si>
  <si>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</si>
  <si>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</si>
  <si>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</si>
  <si>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</si>
  <si>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</si>
  <si>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</si>
  <si>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</si>
  <si>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</si>
  <si>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</si>
  <si>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</si>
  <si>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</si>
  <si>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</si>
  <si>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</si>
  <si>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</si>
  <si>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</si>
  <si>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</si>
  <si>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</si>
  <si>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</si>
  <si>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</si>
  <si>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</si>
  <si>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</si>
  <si>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</si>
  <si>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</si>
  <si>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</si>
  <si>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</si>
  <si>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</si>
  <si>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</si>
  <si>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</si>
  <si>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</si>
  <si>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</si>
  <si>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</si>
  <si>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</si>
  <si>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</si>
  <si>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</si>
  <si>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</si>
  <si>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</si>
  <si>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</si>
  <si>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</si>
  <si>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</si>
  <si>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</si>
  <si>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</si>
  <si>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</si>
  <si>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</si>
  <si>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</si>
  <si>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</si>
  <si>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</si>
  <si>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</si>
  <si>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</si>
  <si>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</si>
  <si>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</si>
  <si>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</si>
  <si>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</si>
  <si>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</si>
  <si>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</si>
  <si>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</si>
  <si>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</si>
  <si>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</si>
  <si>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</si>
  <si>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</si>
  <si>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</si>
  <si>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</si>
  <si>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</si>
  <si>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</si>
  <si>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</si>
  <si>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</si>
  <si>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</si>
  <si>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</si>
  <si>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</si>
  <si>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</si>
  <si>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</si>
  <si>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</si>
  <si>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</si>
  <si>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</si>
  <si>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</si>
  <si>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</si>
  <si>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</si>
  <si>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</si>
  <si>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</si>
  <si>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</si>
  <si>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</si>
  <si>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</si>
  <si>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</si>
  <si>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</si>
  <si>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</si>
  <si>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</si>
  <si>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</si>
  <si>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</si>
  <si>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</si>
  <si>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</si>
  <si>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</si>
  <si>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</si>
  <si>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</si>
  <si>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</si>
  <si>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</si>
  <si>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</si>
  <si>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</si>
  <si>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</si>
  <si>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</si>
  <si>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</si>
  <si>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</si>
  <si>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</si>
  <si>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</si>
  <si>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</si>
  <si>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</si>
  <si>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</si>
  <si>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</si>
  <si>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</si>
  <si>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</si>
  <si>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</si>
  <si>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</si>
  <si>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</si>
  <si>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</si>
  <si>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</si>
  <si>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</si>
  <si>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</si>
  <si>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</si>
  <si>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</si>
  <si>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</si>
  <si>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</si>
  <si>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</si>
  <si>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</si>
  <si>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</si>
  <si>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</si>
  <si>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</si>
  <si>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</si>
  <si>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</si>
  <si>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</si>
  <si>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</si>
  <si>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</si>
  <si>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</si>
  <si>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</si>
  <si>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</si>
  <si>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</si>
  <si>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</si>
  <si>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</si>
  <si>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</si>
  <si>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</si>
  <si>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</si>
  <si>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</si>
  <si>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</si>
  <si>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</si>
  <si>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</si>
  <si>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</si>
  <si>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</si>
  <si>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</si>
  <si>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</si>
  <si>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</si>
  <si>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</si>
  <si>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</si>
  <si>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</si>
  <si>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</si>
  <si>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</si>
  <si>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</si>
  <si>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</si>
  <si>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</si>
  <si>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</si>
  <si>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</si>
  <si>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</si>
  <si>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</si>
  <si>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</si>
  <si>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</si>
  <si>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</si>
  <si>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</si>
  <si>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</si>
  <si>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</si>
  <si>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</si>
  <si>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</si>
  <si>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</si>
  <si>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</si>
  <si>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</si>
  <si>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</si>
  <si>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</si>
  <si>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</si>
  <si>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</si>
  <si>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</si>
  <si>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</si>
  <si>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</si>
  <si>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</si>
  <si>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</si>
  <si>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</si>
  <si>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</si>
  <si>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</si>
  <si>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</si>
  <si>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</si>
  <si>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</si>
  <si>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</si>
  <si>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</si>
  <si>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</si>
  <si>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</si>
  <si>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</si>
  <si>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</si>
  <si>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</si>
  <si>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</si>
  <si>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</si>
  <si>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</si>
  <si>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</si>
  <si>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</si>
  <si>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</si>
  <si>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</si>
  <si>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</si>
  <si>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</si>
  <si>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</si>
  <si>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</si>
  <si>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</si>
  <si>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</si>
  <si>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</si>
  <si>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</si>
  <si>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</si>
  <si>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</si>
  <si>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</si>
  <si>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</si>
  <si>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</si>
  <si>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</si>
  <si>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</si>
  <si>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</si>
  <si>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</si>
  <si>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</si>
  <si>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</si>
  <si>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</si>
  <si>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</si>
  <si>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</si>
  <si>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</si>
  <si>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</si>
  <si>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</si>
  <si>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</si>
  <si>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</si>
  <si>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</si>
  <si>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</si>
  <si>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</si>
  <si>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</si>
  <si>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</si>
  <si>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</si>
  <si>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</si>
  <si>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</si>
  <si>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</si>
  <si>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</si>
  <si>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</si>
  <si>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</si>
  <si>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</si>
  <si>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</si>
  <si>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</si>
  <si>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</si>
  <si>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</si>
  <si>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</si>
  <si>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</si>
  <si>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</si>
  <si>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</si>
  <si>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</si>
  <si>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</si>
  <si>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</si>
  <si>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</si>
  <si>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</si>
  <si>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</si>
  <si>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</si>
  <si>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</si>
  <si>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</si>
  <si>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</si>
  <si>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</si>
  <si>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</si>
  <si>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</si>
  <si>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</si>
  <si>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</si>
  <si>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</si>
  <si>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</si>
  <si>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</si>
  <si>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</si>
  <si>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</si>
  <si>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</si>
  <si>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</si>
  <si>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</si>
  <si>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</si>
  <si>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</si>
  <si>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</si>
  <si>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</si>
  <si>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</si>
  <si>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</si>
  <si>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</si>
  <si>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</si>
  <si>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</si>
  <si>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</si>
  <si>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</si>
  <si>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</si>
  <si>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</si>
  <si>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</si>
  <si>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</si>
  <si>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</si>
  <si>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</si>
  <si>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</si>
  <si>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</si>
  <si>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</si>
  <si>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</si>
  <si>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</si>
  <si>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</si>
  <si>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</si>
  <si>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</si>
  <si>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</si>
  <si>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</si>
  <si>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</si>
  <si>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</si>
  <si>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</si>
  <si>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</si>
  <si>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</si>
  <si>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</si>
  <si>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</si>
  <si>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</si>
  <si>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</si>
  <si>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</si>
  <si>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</si>
  <si>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</si>
  <si>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</si>
  <si>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</si>
  <si>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</si>
  <si>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</si>
  <si>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</si>
  <si>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</si>
  <si>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</si>
  <si>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</si>
  <si>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</si>
  <si>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</si>
  <si>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</si>
  <si>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</si>
  <si>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</si>
  <si>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</si>
  <si>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</si>
  <si>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</si>
  <si>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</si>
  <si>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</si>
  <si>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</si>
  <si>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</si>
  <si>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</si>
  <si>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</si>
  <si>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</si>
  <si>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</si>
  <si>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</si>
  <si>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</si>
  <si>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</si>
  <si>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</si>
  <si>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</si>
  <si>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</si>
  <si>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</si>
  <si>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</si>
  <si>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</si>
  <si>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</si>
  <si>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</si>
  <si>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</si>
  <si>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</si>
  <si>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</si>
  <si>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</si>
  <si>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</si>
  <si>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</si>
  <si>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</si>
  <si>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</si>
  <si>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</si>
  <si>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</si>
  <si>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</si>
  <si>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</si>
  <si>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</si>
  <si>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</si>
  <si>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</si>
  <si>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</si>
  <si>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</si>
  <si>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</si>
  <si>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</si>
  <si>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</si>
  <si>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</si>
  <si>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</si>
  <si>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</si>
  <si>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</si>
  <si>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</si>
  <si>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</si>
  <si>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</si>
  <si>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</si>
  <si>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</si>
  <si>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</si>
  <si>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</si>
  <si>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</si>
  <si>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</si>
  <si>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</si>
  <si>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</si>
  <si>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</si>
  <si>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</si>
  <si>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</si>
  <si>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</si>
  <si>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</si>
  <si>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</si>
  <si>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</si>
  <si>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</si>
  <si>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</si>
  <si>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</si>
  <si>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</si>
  <si>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</si>
  <si>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</si>
  <si>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</si>
  <si>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</si>
  <si>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</si>
  <si>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</si>
  <si>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</si>
  <si>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</si>
  <si>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</si>
  <si>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</si>
  <si>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</si>
  <si>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</si>
  <si>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</si>
  <si>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</si>
  <si>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</si>
  <si>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</si>
  <si>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</si>
  <si>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</si>
  <si>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</si>
  <si>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</si>
  <si>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</si>
  <si>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</si>
  <si>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</si>
  <si>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</si>
  <si>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</si>
  <si>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</si>
  <si>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</si>
  <si>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</si>
  <si>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</si>
  <si>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</si>
  <si>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</si>
  <si>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</si>
  <si>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</si>
  <si>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</si>
  <si>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</si>
  <si>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</si>
  <si>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</si>
  <si>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</si>
  <si>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</si>
  <si>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</si>
  <si>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</si>
  <si>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</si>
  <si>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</si>
  <si>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</si>
  <si>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</si>
  <si>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</si>
  <si>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</si>
  <si>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</si>
  <si>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</si>
  <si>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</si>
  <si>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</si>
  <si>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</si>
  <si>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</si>
  <si>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</si>
  <si>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</si>
  <si>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</si>
  <si>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</si>
  <si>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</si>
  <si>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</si>
  <si>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</si>
  <si>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</si>
  <si>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</si>
  <si>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</si>
  <si>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</si>
  <si>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</si>
  <si>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</si>
  <si>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</si>
  <si>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</si>
  <si>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</si>
  <si>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</si>
  <si>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</si>
  <si>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</si>
  <si>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</si>
  <si>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</si>
  <si>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</si>
  <si>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</si>
  <si>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</si>
  <si>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</si>
  <si>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</si>
  <si>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</si>
  <si>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</si>
  <si>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</si>
  <si>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</si>
  <si>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</si>
  <si>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</si>
  <si>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</si>
  <si>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</si>
  <si>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</si>
  <si>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</si>
  <si>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</si>
  <si>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</si>
  <si>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</si>
  <si>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</si>
  <si>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</si>
  <si>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</si>
  <si>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</si>
  <si>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</si>
  <si>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</si>
  <si>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</si>
  <si>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</si>
  <si>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</si>
  <si>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</si>
  <si>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</si>
  <si>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</si>
  <si>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</si>
  <si>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</si>
  <si>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</si>
  <si>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</si>
  <si>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</si>
  <si>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</si>
  <si>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</si>
  <si>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</si>
  <si>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</si>
  <si>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</si>
  <si>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</si>
  <si>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</si>
  <si>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</si>
  <si>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</si>
  <si>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</si>
  <si>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</si>
  <si>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</si>
  <si>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</si>
  <si>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</si>
  <si>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</si>
  <si>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</si>
  <si>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</si>
  <si>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</si>
  <si>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</si>
  <si>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</si>
  <si>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</si>
  <si>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</si>
  <si>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</si>
  <si>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</si>
  <si>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</si>
  <si>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</si>
  <si>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</si>
  <si>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</si>
  <si>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</si>
  <si>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</si>
  <si>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</si>
  <si>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</si>
  <si>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</si>
  <si>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</si>
  <si>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</si>
  <si>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</si>
  <si>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</si>
  <si>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</si>
  <si>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</si>
  <si>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</si>
  <si>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</si>
  <si>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</si>
  <si>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</si>
  <si>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</si>
  <si>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</si>
  <si>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</si>
  <si>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</si>
  <si>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</si>
  <si>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13040</t>
  </si>
  <si>
    <t>TURNHOUT</t>
  </si>
  <si>
    <t>Paarden&amp;pony's 200 - 600 kg</t>
  </si>
  <si>
    <t>Paarden&amp;pony's &lt; 200 kg</t>
  </si>
  <si>
    <t>referentietaak LNE (2017); Jaarverslag De Lijn (2015)</t>
  </si>
  <si>
    <t>op basis van VEA (maart 2018) en Inventaris Hernieuwbare Energiebronnen (juni 2018)</t>
  </si>
  <si>
    <t>VEA (januari 2017)</t>
  </si>
  <si>
    <t>VEA (juni 2018)</t>
  </si>
  <si>
    <t>De Nieuwe Kaai vzw</t>
  </si>
  <si>
    <t>Nieuwe Kaai 5 , 2300 Turnhout</t>
  </si>
  <si>
    <t>WKK-0414 Croonenburg</t>
  </si>
  <si>
    <t>stirlingmotor</t>
  </si>
  <si>
    <t>IVEKA</t>
  </si>
  <si>
    <t>Sanico NV</t>
  </si>
  <si>
    <t>Veedijk 59 , 2300 Turnhout</t>
  </si>
  <si>
    <t>WKK-0557 Sanico</t>
  </si>
  <si>
    <t>interne verbrandingsmotor</t>
  </si>
  <si>
    <t>WKK interne verbrandinsgmotor (gas)</t>
  </si>
  <si>
    <t>chemie</t>
  </si>
  <si>
    <t>Aquafin NV</t>
  </si>
  <si>
    <t>Dijkstraat 8 , 2630 Aartselaar</t>
  </si>
  <si>
    <t>BGS-0046 RWZI Turnhout</t>
  </si>
  <si>
    <t>biogas - RWZI</t>
  </si>
  <si>
    <t>niet WKK interne verbrandingsmotor (gas)</t>
  </si>
  <si>
    <t>Slachthuisstraat 62 , 2300 Turnhout</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</si>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</sst>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310473.67266248463</c:v>
                </c:pt>
                <c:pt idx="1">
                  <c:v>229308.35584843857</c:v>
                </c:pt>
                <c:pt idx="2">
                  <c:v>2573.7930000000001</c:v>
                </c:pt>
                <c:pt idx="3">
                  <c:v>16390.887452202707</c:v>
                </c:pt>
                <c:pt idx="4">
                  <c:v>472553.68904372235</c:v>
                </c:pt>
                <c:pt idx="5">
                  <c:v>245454.9569424495</c:v>
                </c:pt>
                <c:pt idx="6">
                  <c:v>5299.7455798432475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95680"/>
        <c:axId val="183097216"/>
      </c:barChart>
      <c:catAx>
        <c:axId val="183095680"/>
        <c:scaling>
          <c:orientation val="minMax"/>
        </c:scaling>
        <c:axPos val="b"/>
        <c:numFmt formatCode="General" sourceLinked="0"/>
        <c:tickLblPos val="nextTo"/>
        <c:crossAx val="183097216"/>
        <c:crosses val="autoZero"/>
        <c:auto val="1"/>
        <c:lblAlgn val="ctr"/>
        <c:lblOffset val="100"/>
      </c:catAx>
      <c:valAx>
        <c:axId val="183097216"/>
        <c:scaling>
          <c:orientation val="minMax"/>
        </c:scaling>
        <c:axPos val="l"/>
        <c:majorGridlines/>
        <c:numFmt formatCode="#,##0" sourceLinked="1"/>
        <c:tickLblPos val="nextTo"/>
        <c:crossAx val="1830956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310473.67266248463</c:v>
                </c:pt>
                <c:pt idx="1">
                  <c:v>229308.35584843857</c:v>
                </c:pt>
                <c:pt idx="2">
                  <c:v>2573.7930000000001</c:v>
                </c:pt>
                <c:pt idx="3">
                  <c:v>16390.887452202707</c:v>
                </c:pt>
                <c:pt idx="4">
                  <c:v>472553.68904372235</c:v>
                </c:pt>
                <c:pt idx="5">
                  <c:v>245454.9569424495</c:v>
                </c:pt>
                <c:pt idx="6">
                  <c:v>5299.7455798432475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57925.97042575157</c:v>
                </c:pt>
                <c:pt idx="1">
                  <c:v>48485.161097664357</c:v>
                </c:pt>
                <c:pt idx="2">
                  <c:v>541.47235350192693</c:v>
                </c:pt>
                <c:pt idx="3">
                  <c:v>3696.1577016732858</c:v>
                </c:pt>
                <c:pt idx="4">
                  <c:v>83796.369887975146</c:v>
                </c:pt>
                <c:pt idx="5">
                  <c:v>62901.147583769533</c:v>
                </c:pt>
                <c:pt idx="6">
                  <c:v>1372.4613880081677</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516160"/>
        <c:axId val="183632640"/>
      </c:barChart>
      <c:catAx>
        <c:axId val="183516160"/>
        <c:scaling>
          <c:orientation val="minMax"/>
        </c:scaling>
        <c:axPos val="b"/>
        <c:numFmt formatCode="General" sourceLinked="0"/>
        <c:tickLblPos val="nextTo"/>
        <c:crossAx val="183632640"/>
        <c:crosses val="autoZero"/>
        <c:auto val="1"/>
        <c:lblAlgn val="ctr"/>
        <c:lblOffset val="100"/>
      </c:catAx>
      <c:valAx>
        <c:axId val="183632640"/>
        <c:scaling>
          <c:orientation val="minMax"/>
        </c:scaling>
        <c:axPos val="l"/>
        <c:majorGridlines/>
        <c:numFmt formatCode="#,##0" sourceLinked="1"/>
        <c:tickLblPos val="nextTo"/>
        <c:crossAx val="183516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57925.97042575157</c:v>
                </c:pt>
                <c:pt idx="1">
                  <c:v>48485.161097664357</c:v>
                </c:pt>
                <c:pt idx="2">
                  <c:v>541.47235350192693</c:v>
                </c:pt>
                <c:pt idx="3">
                  <c:v>3696.1577016732858</c:v>
                </c:pt>
                <c:pt idx="4">
                  <c:v>83796.369887975146</c:v>
                </c:pt>
                <c:pt idx="5">
                  <c:v>62901.147583769533</c:v>
                </c:pt>
                <c:pt idx="6">
                  <c:v>1372.4613880081677</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13040</v>
      </c>
      <c r="B6" s="415"/>
      <c r="C6" s="416"/>
    </row>
    <row r="7" spans="1:7" s="413" customFormat="1" ht="15.75" customHeight="1">
      <c r="A7" s="417" t="str">
        <f>txtMunicipality</f>
        <v>TURNHOUT</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13040</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19099</v>
      </c>
      <c r="C9" s="342">
        <v>19676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2230.52</v>
      </c>
    </row>
    <row r="15" spans="1:6">
      <c r="A15" s="348" t="s">
        <v>184</v>
      </c>
      <c r="B15" s="334">
        <v>3481</v>
      </c>
    </row>
    <row r="16" spans="1:6">
      <c r="A16" s="348" t="s">
        <v>6</v>
      </c>
      <c r="B16" s="334">
        <v>1043</v>
      </c>
    </row>
    <row r="17" spans="1:6">
      <c r="A17" s="348" t="s">
        <v>7</v>
      </c>
      <c r="B17" s="334">
        <v>186</v>
      </c>
    </row>
    <row r="18" spans="1:6">
      <c r="A18" s="348" t="s">
        <v>8</v>
      </c>
      <c r="B18" s="334">
        <v>686</v>
      </c>
    </row>
    <row r="19" spans="1:6">
      <c r="A19" s="348" t="s">
        <v>9</v>
      </c>
      <c r="B19" s="334">
        <v>625</v>
      </c>
    </row>
    <row r="20" spans="1:6">
      <c r="A20" s="348" t="s">
        <v>10</v>
      </c>
      <c r="B20" s="334">
        <v>256</v>
      </c>
    </row>
    <row r="21" spans="1:6">
      <c r="A21" s="348" t="s">
        <v>11</v>
      </c>
      <c r="B21" s="334">
        <v>1033</v>
      </c>
    </row>
    <row r="22" spans="1:6">
      <c r="A22" s="348" t="s">
        <v>12</v>
      </c>
      <c r="B22" s="334">
        <v>2966</v>
      </c>
    </row>
    <row r="23" spans="1:6">
      <c r="A23" s="348" t="s">
        <v>13</v>
      </c>
      <c r="B23" s="334">
        <v>38</v>
      </c>
    </row>
    <row r="24" spans="1:6">
      <c r="A24" s="348" t="s">
        <v>14</v>
      </c>
      <c r="B24" s="334">
        <v>2</v>
      </c>
    </row>
    <row r="25" spans="1:6">
      <c r="A25" s="348" t="s">
        <v>15</v>
      </c>
      <c r="B25" s="334">
        <v>204</v>
      </c>
    </row>
    <row r="26" spans="1:6">
      <c r="A26" s="348" t="s">
        <v>16</v>
      </c>
      <c r="B26" s="334">
        <v>51</v>
      </c>
    </row>
    <row r="27" spans="1:6">
      <c r="A27" s="348" t="s">
        <v>17</v>
      </c>
      <c r="B27" s="334">
        <v>0</v>
      </c>
    </row>
    <row r="28" spans="1:6" s="356" customFormat="1">
      <c r="A28" s="355" t="s">
        <v>18</v>
      </c>
      <c r="B28" s="355">
        <v>426668</v>
      </c>
    </row>
    <row r="29" spans="1:6">
      <c r="A29" s="355" t="s">
        <v>812</v>
      </c>
      <c r="B29" s="355">
        <v>135</v>
      </c>
      <c r="C29" s="356"/>
      <c r="D29" s="356"/>
      <c r="E29" s="356"/>
      <c r="F29" s="356"/>
    </row>
    <row r="30" spans="1:6">
      <c r="A30" s="355" t="s">
        <v>813</v>
      </c>
      <c r="B30" s="341">
        <v>46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45434.948419</v>
      </c>
      <c r="E36" s="334">
        <v>8</v>
      </c>
      <c r="F36" s="334">
        <v>598258.45482999994</v>
      </c>
    </row>
    <row r="37" spans="1:6">
      <c r="A37" s="348" t="s">
        <v>25</v>
      </c>
      <c r="B37" s="348" t="s">
        <v>28</v>
      </c>
      <c r="C37" s="334">
        <v>0</v>
      </c>
      <c r="D37" s="334">
        <v>0</v>
      </c>
      <c r="E37" s="334">
        <v>0</v>
      </c>
      <c r="F37" s="334">
        <v>0</v>
      </c>
    </row>
    <row r="38" spans="1:6">
      <c r="A38" s="348" t="s">
        <v>25</v>
      </c>
      <c r="B38" s="348" t="s">
        <v>29</v>
      </c>
      <c r="C38" s="334">
        <v>2</v>
      </c>
      <c r="D38" s="334">
        <v>284489.48362999997</v>
      </c>
      <c r="E38" s="334">
        <v>1</v>
      </c>
      <c r="F38" s="334">
        <v>11126.177389</v>
      </c>
    </row>
    <row r="39" spans="1:6">
      <c r="A39" s="348" t="s">
        <v>30</v>
      </c>
      <c r="B39" s="348" t="s">
        <v>31</v>
      </c>
      <c r="C39" s="334">
        <v>17028</v>
      </c>
      <c r="D39" s="334">
        <v>243903925.09999999</v>
      </c>
      <c r="E39" s="334">
        <v>19215</v>
      </c>
      <c r="F39" s="334">
        <v>54942996.946000002</v>
      </c>
    </row>
    <row r="40" spans="1:6">
      <c r="A40" s="348" t="s">
        <v>30</v>
      </c>
      <c r="B40" s="348" t="s">
        <v>29</v>
      </c>
      <c r="C40" s="334">
        <v>0</v>
      </c>
      <c r="D40" s="334">
        <v>0</v>
      </c>
      <c r="E40" s="334">
        <v>1</v>
      </c>
      <c r="F40" s="334">
        <v>15665.0283368</v>
      </c>
    </row>
    <row r="41" spans="1:6">
      <c r="A41" s="348" t="s">
        <v>32</v>
      </c>
      <c r="B41" s="348" t="s">
        <v>33</v>
      </c>
      <c r="C41" s="334">
        <v>165</v>
      </c>
      <c r="D41" s="334">
        <v>5722541.7835999997</v>
      </c>
      <c r="E41" s="334">
        <v>318</v>
      </c>
      <c r="F41" s="334">
        <v>11900709.895</v>
      </c>
    </row>
    <row r="42" spans="1:6">
      <c r="A42" s="348" t="s">
        <v>32</v>
      </c>
      <c r="B42" s="348" t="s">
        <v>34</v>
      </c>
      <c r="C42" s="334">
        <v>8</v>
      </c>
      <c r="D42" s="334">
        <v>12597566.287</v>
      </c>
      <c r="E42" s="334">
        <v>7</v>
      </c>
      <c r="F42" s="334">
        <v>18250176.800000001</v>
      </c>
    </row>
    <row r="43" spans="1:6">
      <c r="A43" s="348" t="s">
        <v>32</v>
      </c>
      <c r="B43" s="348" t="s">
        <v>35</v>
      </c>
      <c r="C43" s="334">
        <v>0</v>
      </c>
      <c r="D43" s="334">
        <v>0</v>
      </c>
      <c r="E43" s="334">
        <v>0</v>
      </c>
      <c r="F43" s="334">
        <v>0</v>
      </c>
    </row>
    <row r="44" spans="1:6">
      <c r="A44" s="348" t="s">
        <v>32</v>
      </c>
      <c r="B44" s="348" t="s">
        <v>36</v>
      </c>
      <c r="C44" s="334">
        <v>10</v>
      </c>
      <c r="D44" s="334">
        <v>796336.31220000004</v>
      </c>
      <c r="E44" s="334">
        <v>24</v>
      </c>
      <c r="F44" s="334">
        <v>875333.84478000004</v>
      </c>
    </row>
    <row r="45" spans="1:6">
      <c r="A45" s="348" t="s">
        <v>32</v>
      </c>
      <c r="B45" s="348" t="s">
        <v>37</v>
      </c>
      <c r="C45" s="334">
        <v>0</v>
      </c>
      <c r="D45" s="334">
        <v>0</v>
      </c>
      <c r="E45" s="334">
        <v>3</v>
      </c>
      <c r="F45" s="334">
        <v>452411.19608000002</v>
      </c>
    </row>
    <row r="46" spans="1:6">
      <c r="A46" s="348" t="s">
        <v>32</v>
      </c>
      <c r="B46" s="348" t="s">
        <v>38</v>
      </c>
      <c r="C46" s="334">
        <v>0</v>
      </c>
      <c r="D46" s="334">
        <v>0</v>
      </c>
      <c r="E46" s="334">
        <v>0</v>
      </c>
      <c r="F46" s="334">
        <v>0</v>
      </c>
    </row>
    <row r="47" spans="1:6">
      <c r="A47" s="348" t="s">
        <v>32</v>
      </c>
      <c r="B47" s="348" t="s">
        <v>39</v>
      </c>
      <c r="C47" s="334">
        <v>20</v>
      </c>
      <c r="D47" s="334">
        <v>31047107.493999999</v>
      </c>
      <c r="E47" s="334">
        <v>23</v>
      </c>
      <c r="F47" s="334">
        <v>26908408.879000001</v>
      </c>
    </row>
    <row r="48" spans="1:6">
      <c r="A48" s="348" t="s">
        <v>32</v>
      </c>
      <c r="B48" s="348" t="s">
        <v>29</v>
      </c>
      <c r="C48" s="334">
        <v>49</v>
      </c>
      <c r="D48" s="334">
        <v>82517548.357999995</v>
      </c>
      <c r="E48" s="334">
        <v>53</v>
      </c>
      <c r="F48" s="334">
        <v>106631452.43000001</v>
      </c>
    </row>
    <row r="49" spans="1:6">
      <c r="A49" s="348" t="s">
        <v>32</v>
      </c>
      <c r="B49" s="348" t="s">
        <v>40</v>
      </c>
      <c r="C49" s="334">
        <v>4</v>
      </c>
      <c r="D49" s="334">
        <v>82049.661533000006</v>
      </c>
      <c r="E49" s="334">
        <v>4</v>
      </c>
      <c r="F49" s="334">
        <v>14851.90467</v>
      </c>
    </row>
    <row r="50" spans="1:6">
      <c r="A50" s="348" t="s">
        <v>32</v>
      </c>
      <c r="B50" s="348" t="s">
        <v>41</v>
      </c>
      <c r="C50" s="334">
        <v>29</v>
      </c>
      <c r="D50" s="334">
        <v>39872533.763999999</v>
      </c>
      <c r="E50" s="334">
        <v>36</v>
      </c>
      <c r="F50" s="334">
        <v>19656752.166999999</v>
      </c>
    </row>
    <row r="51" spans="1:6">
      <c r="A51" s="348" t="s">
        <v>42</v>
      </c>
      <c r="B51" s="348" t="s">
        <v>43</v>
      </c>
      <c r="C51" s="334">
        <v>0</v>
      </c>
      <c r="D51" s="334">
        <v>0</v>
      </c>
      <c r="E51" s="334">
        <v>59</v>
      </c>
      <c r="F51" s="334">
        <v>1312232.4738</v>
      </c>
    </row>
    <row r="52" spans="1:6">
      <c r="A52" s="348" t="s">
        <v>42</v>
      </c>
      <c r="B52" s="348" t="s">
        <v>29</v>
      </c>
      <c r="C52" s="334">
        <v>14</v>
      </c>
      <c r="D52" s="334">
        <v>2532000.0240000002</v>
      </c>
      <c r="E52" s="334">
        <v>10</v>
      </c>
      <c r="F52" s="334">
        <v>122432.88098</v>
      </c>
    </row>
    <row r="53" spans="1:6">
      <c r="A53" s="348" t="s">
        <v>44</v>
      </c>
      <c r="B53" s="348" t="s">
        <v>45</v>
      </c>
      <c r="C53" s="334">
        <v>428</v>
      </c>
      <c r="D53" s="334">
        <v>7965465.0108000003</v>
      </c>
      <c r="E53" s="334">
        <v>843</v>
      </c>
      <c r="F53" s="334">
        <v>4804853.0077999998</v>
      </c>
    </row>
    <row r="54" spans="1:6">
      <c r="A54" s="348" t="s">
        <v>46</v>
      </c>
      <c r="B54" s="348" t="s">
        <v>47</v>
      </c>
      <c r="C54" s="334">
        <v>0</v>
      </c>
      <c r="D54" s="334">
        <v>0</v>
      </c>
      <c r="E54" s="334">
        <v>1</v>
      </c>
      <c r="F54" s="334">
        <v>2573793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145</v>
      </c>
      <c r="D57" s="334">
        <v>8356449.4710999997</v>
      </c>
      <c r="E57" s="334">
        <v>179</v>
      </c>
      <c r="F57" s="334">
        <v>4260478.7822000002</v>
      </c>
    </row>
    <row r="58" spans="1:6">
      <c r="A58" s="348" t="s">
        <v>49</v>
      </c>
      <c r="B58" s="348" t="s">
        <v>51</v>
      </c>
      <c r="C58" s="334">
        <v>118</v>
      </c>
      <c r="D58" s="334">
        <v>19436993.090999998</v>
      </c>
      <c r="E58" s="334">
        <v>149</v>
      </c>
      <c r="F58" s="334">
        <v>14668397.200999999</v>
      </c>
    </row>
    <row r="59" spans="1:6">
      <c r="A59" s="348" t="s">
        <v>49</v>
      </c>
      <c r="B59" s="348" t="s">
        <v>52</v>
      </c>
      <c r="C59" s="334">
        <v>417</v>
      </c>
      <c r="D59" s="334">
        <v>24570865.383000001</v>
      </c>
      <c r="E59" s="334">
        <v>618</v>
      </c>
      <c r="F59" s="334">
        <v>32876913.366999999</v>
      </c>
    </row>
    <row r="60" spans="1:6">
      <c r="A60" s="348" t="s">
        <v>49</v>
      </c>
      <c r="B60" s="348" t="s">
        <v>53</v>
      </c>
      <c r="C60" s="334">
        <v>213</v>
      </c>
      <c r="D60" s="334">
        <v>17785209.942000002</v>
      </c>
      <c r="E60" s="334">
        <v>238</v>
      </c>
      <c r="F60" s="334">
        <v>8142010.6612</v>
      </c>
    </row>
    <row r="61" spans="1:6">
      <c r="A61" s="348" t="s">
        <v>49</v>
      </c>
      <c r="B61" s="348" t="s">
        <v>54</v>
      </c>
      <c r="C61" s="334">
        <v>676</v>
      </c>
      <c r="D61" s="334">
        <v>40755237.145999998</v>
      </c>
      <c r="E61" s="334">
        <v>1343</v>
      </c>
      <c r="F61" s="334">
        <v>19035144.602000002</v>
      </c>
    </row>
    <row r="62" spans="1:6">
      <c r="A62" s="348" t="s">
        <v>49</v>
      </c>
      <c r="B62" s="348" t="s">
        <v>55</v>
      </c>
      <c r="C62" s="334">
        <v>52</v>
      </c>
      <c r="D62" s="334">
        <v>8505428.6060000006</v>
      </c>
      <c r="E62" s="334">
        <v>54</v>
      </c>
      <c r="F62" s="334">
        <v>3318123.9319000002</v>
      </c>
    </row>
    <row r="63" spans="1:6">
      <c r="A63" s="348" t="s">
        <v>49</v>
      </c>
      <c r="B63" s="348" t="s">
        <v>29</v>
      </c>
      <c r="C63" s="334">
        <v>96</v>
      </c>
      <c r="D63" s="334">
        <v>11588336.738</v>
      </c>
      <c r="E63" s="334">
        <v>78</v>
      </c>
      <c r="F63" s="334">
        <v>4320238.9057999998</v>
      </c>
    </row>
    <row r="64" spans="1:6">
      <c r="A64" s="348" t="s">
        <v>56</v>
      </c>
      <c r="B64" s="348" t="s">
        <v>57</v>
      </c>
      <c r="C64" s="334">
        <v>0</v>
      </c>
      <c r="D64" s="334">
        <v>0</v>
      </c>
      <c r="E64" s="334">
        <v>0</v>
      </c>
      <c r="F64" s="334">
        <v>0</v>
      </c>
    </row>
    <row r="65" spans="1:6">
      <c r="A65" s="348" t="s">
        <v>56</v>
      </c>
      <c r="B65" s="348" t="s">
        <v>29</v>
      </c>
      <c r="C65" s="334">
        <v>6</v>
      </c>
      <c r="D65" s="334">
        <v>514540.71221000003</v>
      </c>
      <c r="E65" s="334">
        <v>3</v>
      </c>
      <c r="F65" s="334">
        <v>45181.795142000003</v>
      </c>
    </row>
    <row r="66" spans="1:6">
      <c r="A66" s="348" t="s">
        <v>56</v>
      </c>
      <c r="B66" s="348" t="s">
        <v>58</v>
      </c>
      <c r="C66" s="334">
        <v>8</v>
      </c>
      <c r="D66" s="334">
        <v>681346.97502000001</v>
      </c>
      <c r="E66" s="334">
        <v>28</v>
      </c>
      <c r="F66" s="334">
        <v>969041.18310999998</v>
      </c>
    </row>
    <row r="67" spans="1:6">
      <c r="A67" s="355" t="s">
        <v>56</v>
      </c>
      <c r="B67" s="355" t="s">
        <v>59</v>
      </c>
      <c r="C67" s="334">
        <v>0</v>
      </c>
      <c r="D67" s="334">
        <v>0</v>
      </c>
      <c r="E67" s="334">
        <v>0</v>
      </c>
      <c r="F67" s="334">
        <v>0</v>
      </c>
    </row>
    <row r="68" spans="1:6">
      <c r="A68" s="341" t="s">
        <v>56</v>
      </c>
      <c r="B68" s="341" t="s">
        <v>60</v>
      </c>
      <c r="C68" s="334">
        <v>8</v>
      </c>
      <c r="D68" s="334">
        <v>619379.06385999999</v>
      </c>
      <c r="E68" s="334">
        <v>22</v>
      </c>
      <c r="F68" s="334">
        <v>872882.45790000004</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154171637</v>
      </c>
      <c r="E73" s="476">
        <v>157975911.17155635</v>
      </c>
    </row>
    <row r="74" spans="1:6">
      <c r="A74" s="348" t="s">
        <v>64</v>
      </c>
      <c r="B74" s="348" t="s">
        <v>667</v>
      </c>
      <c r="C74" s="1212" t="s">
        <v>669</v>
      </c>
      <c r="D74" s="476">
        <v>14540005.294575784</v>
      </c>
      <c r="E74" s="476">
        <v>14608482.097261544</v>
      </c>
    </row>
    <row r="75" spans="1:6">
      <c r="A75" s="348" t="s">
        <v>65</v>
      </c>
      <c r="B75" s="348" t="s">
        <v>666</v>
      </c>
      <c r="C75" s="1212" t="s">
        <v>670</v>
      </c>
      <c r="D75" s="476">
        <v>29816660</v>
      </c>
      <c r="E75" s="476">
        <v>30483500.976804804</v>
      </c>
    </row>
    <row r="76" spans="1:6">
      <c r="A76" s="348" t="s">
        <v>65</v>
      </c>
      <c r="B76" s="348" t="s">
        <v>667</v>
      </c>
      <c r="C76" s="1212" t="s">
        <v>671</v>
      </c>
      <c r="D76" s="476">
        <v>550457.29457578412</v>
      </c>
      <c r="E76" s="476">
        <v>567664.35296285804</v>
      </c>
    </row>
    <row r="77" spans="1:6">
      <c r="A77" s="348" t="s">
        <v>66</v>
      </c>
      <c r="B77" s="348" t="s">
        <v>666</v>
      </c>
      <c r="C77" s="1212" t="s">
        <v>672</v>
      </c>
      <c r="D77" s="476">
        <v>62385977</v>
      </c>
      <c r="E77" s="476">
        <v>66520458.93493101</v>
      </c>
    </row>
    <row r="78" spans="1:6">
      <c r="A78" s="341" t="s">
        <v>66</v>
      </c>
      <c r="B78" s="341" t="s">
        <v>667</v>
      </c>
      <c r="C78" s="341" t="s">
        <v>673</v>
      </c>
      <c r="D78" s="1213">
        <v>17095298</v>
      </c>
      <c r="E78" s="1213">
        <v>18424179.668424014</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1423439.4108484318</v>
      </c>
      <c r="C83" s="476">
        <v>1423439.4108484318</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4370.6101800458991</v>
      </c>
    </row>
    <row r="92" spans="1:6">
      <c r="A92" s="341" t="s">
        <v>69</v>
      </c>
      <c r="B92" s="342">
        <v>10789.112913820845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12843</v>
      </c>
    </row>
    <row r="98" spans="1:6">
      <c r="A98" s="348" t="s">
        <v>72</v>
      </c>
      <c r="B98" s="334">
        <v>18</v>
      </c>
    </row>
    <row r="99" spans="1:6">
      <c r="A99" s="348" t="s">
        <v>73</v>
      </c>
      <c r="B99" s="334">
        <v>63</v>
      </c>
    </row>
    <row r="100" spans="1:6">
      <c r="A100" s="348" t="s">
        <v>74</v>
      </c>
      <c r="B100" s="334">
        <v>462</v>
      </c>
    </row>
    <row r="101" spans="1:6">
      <c r="A101" s="348" t="s">
        <v>75</v>
      </c>
      <c r="B101" s="334">
        <v>128</v>
      </c>
    </row>
    <row r="102" spans="1:6">
      <c r="A102" s="348" t="s">
        <v>76</v>
      </c>
      <c r="B102" s="334">
        <v>292</v>
      </c>
    </row>
    <row r="103" spans="1:6">
      <c r="A103" s="348" t="s">
        <v>77</v>
      </c>
      <c r="B103" s="334">
        <v>271</v>
      </c>
    </row>
    <row r="104" spans="1:6">
      <c r="A104" s="348" t="s">
        <v>78</v>
      </c>
      <c r="B104" s="334">
        <v>2518</v>
      </c>
    </row>
    <row r="105" spans="1:6">
      <c r="A105" s="341" t="s">
        <v>79</v>
      </c>
      <c r="B105" s="341">
        <v>13</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33</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195</v>
      </c>
    </row>
    <row r="130" spans="1:6">
      <c r="A130" s="348" t="s">
        <v>295</v>
      </c>
      <c r="B130" s="334">
        <v>4</v>
      </c>
    </row>
    <row r="131" spans="1:6">
      <c r="A131" s="348" t="s">
        <v>296</v>
      </c>
      <c r="B131" s="334">
        <v>8</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339220.36925208726</v>
      </c>
      <c r="C3" s="43" t="s">
        <v>170</v>
      </c>
      <c r="D3" s="43"/>
      <c r="E3" s="154"/>
      <c r="F3" s="43"/>
      <c r="G3" s="43"/>
      <c r="H3" s="43"/>
      <c r="I3" s="43"/>
      <c r="J3" s="43"/>
      <c r="K3" s="96"/>
    </row>
    <row r="4" spans="1:11">
      <c r="A4" s="383" t="s">
        <v>171</v>
      </c>
      <c r="B4" s="49">
        <f>IF(ISERROR('SEAP template'!B69),0,'SEAP template'!B69)</f>
        <v>19673.223093866745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744.96967601019287</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0.21037913829974941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1328.4160382755215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5657.1428571428578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0.23482101686688509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2573.7930000000001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2573.7930000000001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0.21037913829974941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541.47235350192693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54958.661974336806</v>
      </c>
      <c r="C5" s="17">
        <f>IF(ISERROR('Eigen informatie GS &amp; warmtenet'!B57),0,'Eigen informatie GS &amp; warmtenet'!B57)</f>
        <v>0</v>
      </c>
      <c r="D5" s="30">
        <f>(SUM(HH_hh_gas_kWh,HH_rest_gas_kWh)/1000)*0.902</f>
        <v>220001.3404402</v>
      </c>
      <c r="E5" s="17">
        <f>B46*B57</f>
        <v>4423.1652204440898</v>
      </c>
      <c r="F5" s="17">
        <f>B51*B62</f>
        <v>0</v>
      </c>
      <c r="G5" s="18"/>
      <c r="H5" s="17"/>
      <c r="I5" s="17"/>
      <c r="J5" s="17">
        <f>B50*B61+C50*C61</f>
        <v>0</v>
      </c>
      <c r="K5" s="17"/>
      <c r="L5" s="17"/>
      <c r="M5" s="17"/>
      <c r="N5" s="17">
        <f>B48*B59+C48*C59</f>
        <v>25522.958180791102</v>
      </c>
      <c r="O5" s="17">
        <f>B69*B70*B71</f>
        <v>358.00333333333339</v>
      </c>
      <c r="P5" s="17">
        <f>B77*B78*B79/1000-B77*B78*B79/1000/B80</f>
        <v>838.93333333333339</v>
      </c>
    </row>
    <row r="6" spans="1:16">
      <c r="A6" s="16" t="s">
        <v>624</v>
      </c>
      <c r="B6" s="843">
        <f>kWh_PV_kleiner_dan_10kW</f>
        <v>4370.6101800458991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59329.272154382707</v>
      </c>
      <c r="C8" s="21">
        <f>C5</f>
        <v>0</v>
      </c>
      <c r="D8" s="21">
        <f>D5</f>
        <v>220001.3404402</v>
      </c>
      <c r="E8" s="21">
        <f>E5</f>
        <v>4423.1652204440898</v>
      </c>
      <c r="F8" s="21">
        <f>F5</f>
        <v>0</v>
      </c>
      <c r="G8" s="21"/>
      <c r="H8" s="21"/>
      <c r="I8" s="21"/>
      <c r="J8" s="21">
        <f>J5</f>
        <v>0</v>
      </c>
      <c r="K8" s="21"/>
      <c r="L8" s="21">
        <f>L5</f>
        <v>0</v>
      </c>
      <c r="M8" s="21">
        <f>M5</f>
        <v>0</v>
      </c>
      <c r="N8" s="21">
        <f>N5</f>
        <v>25522.958180791102</v>
      </c>
      <c r="O8" s="21">
        <f>O5</f>
        <v>358.00333333333339</v>
      </c>
      <c r="P8" s="21">
        <f>P5</f>
        <v>838.93333333333339</v>
      </c>
    </row>
    <row r="9" spans="1:16">
      <c r="B9" s="19"/>
      <c r="C9" s="19"/>
      <c r="D9" s="258"/>
      <c r="E9" s="19"/>
      <c r="F9" s="19"/>
      <c r="G9" s="19"/>
      <c r="H9" s="19"/>
      <c r="I9" s="19"/>
      <c r="J9" s="19"/>
      <c r="K9" s="19"/>
      <c r="L9" s="19"/>
      <c r="M9" s="19"/>
      <c r="N9" s="19"/>
      <c r="O9" s="19"/>
      <c r="P9" s="19"/>
    </row>
    <row r="10" spans="1:16">
      <c r="A10" s="24" t="s">
        <v>214</v>
      </c>
      <c r="B10" s="25">
        <f ca="1">'EF ele_warmte'!B12</f>
        <v>0.21037913829974941</v>
      </c>
      <c r="C10" s="25">
        <f ca="1">'EF ele_warmte'!B22</f>
        <v>0.23482101686688509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12481.641151790351</v>
      </c>
      <c r="C12" s="23">
        <f ca="1">C10*C8</f>
        <v>0</v>
      </c>
      <c r="D12" s="23">
        <f>D8*D10</f>
        <v>44440.270768920403</v>
      </c>
      <c r="E12" s="23">
        <f>E10*E8</f>
        <v>1004.0585050408084</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12843</v>
      </c>
      <c r="C18" s="166" t="s">
        <v>111</v>
      </c>
      <c r="D18" s="228"/>
      <c r="E18" s="15"/>
    </row>
    <row r="19" spans="1:7">
      <c r="A19" s="171" t="s">
        <v>72</v>
      </c>
      <c r="B19" s="37">
        <f>aantalw2001_ander</f>
        <v>18</v>
      </c>
      <c r="C19" s="166" t="s">
        <v>111</v>
      </c>
      <c r="D19" s="229"/>
      <c r="E19" s="15"/>
    </row>
    <row r="20" spans="1:7">
      <c r="A20" s="171" t="s">
        <v>73</v>
      </c>
      <c r="B20" s="37">
        <f>aantalw2001_propaan</f>
        <v>63</v>
      </c>
      <c r="C20" s="167">
        <f>IF(ISERROR(B20/SUM($B$20,$B$21,$B$22)*100),0,B20/SUM($B$20,$B$21,$B$22)*100)</f>
        <v>9.6477794793261857</v>
      </c>
      <c r="D20" s="229"/>
      <c r="E20" s="15"/>
    </row>
    <row r="21" spans="1:7">
      <c r="A21" s="171" t="s">
        <v>74</v>
      </c>
      <c r="B21" s="37">
        <f>aantalw2001_elektriciteit</f>
        <v>462</v>
      </c>
      <c r="C21" s="167">
        <f>IF(ISERROR(B21/SUM($B$20,$B$21,$B$22)*100),0,B21/SUM($B$20,$B$21,$B$22)*100)</f>
        <v>70.750382848392036</v>
      </c>
      <c r="D21" s="229"/>
      <c r="E21" s="15"/>
    </row>
    <row r="22" spans="1:7">
      <c r="A22" s="171" t="s">
        <v>75</v>
      </c>
      <c r="B22" s="37">
        <f>aantalw2001_hout</f>
        <v>128</v>
      </c>
      <c r="C22" s="167">
        <f>IF(ISERROR(B22/SUM($B$20,$B$21,$B$22)*100),0,B22/SUM($B$20,$B$21,$B$22)*100)</f>
        <v>19.601837672281778</v>
      </c>
      <c r="D22" s="229"/>
      <c r="E22" s="15"/>
    </row>
    <row r="23" spans="1:7">
      <c r="A23" s="171" t="s">
        <v>76</v>
      </c>
      <c r="B23" s="37">
        <f>aantalw2001_niet_gespec</f>
        <v>292</v>
      </c>
      <c r="C23" s="166" t="s">
        <v>111</v>
      </c>
      <c r="D23" s="228"/>
      <c r="E23" s="15"/>
    </row>
    <row r="24" spans="1:7">
      <c r="A24" s="171" t="s">
        <v>77</v>
      </c>
      <c r="B24" s="37">
        <f>aantalw2001_steenkool</f>
        <v>271</v>
      </c>
      <c r="C24" s="166" t="s">
        <v>111</v>
      </c>
      <c r="D24" s="229"/>
      <c r="E24" s="15"/>
    </row>
    <row r="25" spans="1:7">
      <c r="A25" s="171" t="s">
        <v>78</v>
      </c>
      <c r="B25" s="37">
        <f>aantalw2001_stookolie</f>
        <v>2518</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698</v>
      </c>
      <c r="B28" s="37">
        <f>aantalHuishoudens2011</f>
        <v>19099</v>
      </c>
      <c r="C28" s="36"/>
      <c r="D28" s="228"/>
    </row>
    <row r="29" spans="1:7" s="15" customFormat="1">
      <c r="A29" s="230" t="s">
        <v>699</v>
      </c>
      <c r="B29" s="37">
        <f>SUM(HH_hh_gas_aantal,HH_rest_gas_aantal)</f>
        <v>17028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17028</v>
      </c>
      <c r="C32" s="167">
        <f>IF(ISERROR(B32/SUM($B$32,$B$34,$B$35,$B$36,$B$38,$B$39)*100),0,B32/SUM($B$32,$B$34,$B$35,$B$36,$B$38,$B$39)*100)</f>
        <v>89.362372080818687</v>
      </c>
      <c r="D32" s="233"/>
      <c r="G32" s="15"/>
    </row>
    <row r="33" spans="1:7">
      <c r="A33" s="171" t="s">
        <v>72</v>
      </c>
      <c r="B33" s="34" t="s">
        <v>111</v>
      </c>
      <c r="C33" s="167"/>
      <c r="D33" s="233"/>
      <c r="G33" s="15"/>
    </row>
    <row r="34" spans="1:7">
      <c r="A34" s="171" t="s">
        <v>73</v>
      </c>
      <c r="B34" s="33">
        <f>IF((($B$28-$B$32-$B$39-$B$77-$B$38)*C20/100)&lt;0,0,($B$28-$B$32-$B$39-$B$77-$B$38)*C20/100)</f>
        <v>195.56049004594178</v>
      </c>
      <c r="C34" s="167">
        <f>IF(ISERROR(B34/SUM($B$32,$B$34,$B$35,$B$36,$B$38,$B$39)*100),0,B34/SUM($B$32,$B$34,$B$35,$B$36,$B$38,$B$39)*100)</f>
        <v>1.0262948834738483</v>
      </c>
      <c r="D34" s="233"/>
      <c r="G34" s="15"/>
    </row>
    <row r="35" spans="1:7">
      <c r="A35" s="171" t="s">
        <v>74</v>
      </c>
      <c r="B35" s="33">
        <f>IF((($B$28-$B$32-$B$39-$B$77-$B$38)*C21/100)&lt;0,0,($B$28-$B$32-$B$39-$B$77-$B$38)*C21/100)</f>
        <v>1434.1102603369065</v>
      </c>
      <c r="C35" s="167">
        <f>IF(ISERROR(B35/SUM($B$32,$B$34,$B$35,$B$36,$B$38,$B$39)*100),0,B35/SUM($B$32,$B$34,$B$35,$B$36,$B$38,$B$39)*100)</f>
        <v>7.5261624788082209</v>
      </c>
      <c r="D35" s="233"/>
      <c r="G35" s="15"/>
    </row>
    <row r="36" spans="1:7">
      <c r="A36" s="171" t="s">
        <v>75</v>
      </c>
      <c r="B36" s="33">
        <f>IF((($B$28-$B$32-$B$39-$B$77-$B$38)*C22/100)&lt;0,0,($B$28-$B$32-$B$39-$B$77-$B$38)*C22/100)</f>
        <v>397.32924961715167</v>
      </c>
      <c r="C36" s="167">
        <f>IF(ISERROR(B36/SUM($B$32,$B$34,$B$35,$B$36,$B$38,$B$39)*100),0,B36/SUM($B$32,$B$34,$B$35,$B$36,$B$38,$B$39)*100)</f>
        <v>2.0851705568992478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17028</v>
      </c>
      <c r="C44" s="34" t="s">
        <v>111</v>
      </c>
      <c r="D44" s="174"/>
    </row>
    <row r="45" spans="1:7">
      <c r="A45" s="171" t="s">
        <v>72</v>
      </c>
      <c r="B45" s="33" t="str">
        <f t="shared" si="0"/>
        <v>-</v>
      </c>
      <c r="C45" s="34" t="s">
        <v>111</v>
      </c>
      <c r="D45" s="174"/>
    </row>
    <row r="46" spans="1:7">
      <c r="A46" s="171" t="s">
        <v>73</v>
      </c>
      <c r="B46" s="33">
        <f t="shared" si="0"/>
        <v>195.56049004594178</v>
      </c>
      <c r="C46" s="34" t="s">
        <v>111</v>
      </c>
      <c r="D46" s="174"/>
    </row>
    <row r="47" spans="1:7">
      <c r="A47" s="171" t="s">
        <v>74</v>
      </c>
      <c r="B47" s="33">
        <f t="shared" si="0"/>
        <v>1434.1102603369065</v>
      </c>
      <c r="C47" s="34" t="s">
        <v>111</v>
      </c>
      <c r="D47" s="174"/>
    </row>
    <row r="48" spans="1:7">
      <c r="A48" s="171" t="s">
        <v>75</v>
      </c>
      <c r="B48" s="33">
        <f t="shared" si="0"/>
        <v>397.32924961715167</v>
      </c>
      <c r="C48" s="33">
        <f>B48*10</f>
        <v>3973.2924961715166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86621.307451100001</v>
      </c>
      <c r="C5" s="17">
        <f>IF(ISERROR('Eigen informatie GS &amp; warmtenet'!B58),0,'Eigen informatie GS &amp; warmtenet'!B58)</f>
        <v>0</v>
      </c>
      <c r="D5" s="30">
        <f>SUM(D6:D12)</f>
        <v>118160.6653801442</v>
      </c>
      <c r="E5" s="17">
        <f>SUM(E6:E12)</f>
        <v>1646.482710597872</v>
      </c>
      <c r="F5" s="17">
        <f>SUM(F6:F12)</f>
        <v>21444.225247264807</v>
      </c>
      <c r="G5" s="18"/>
      <c r="H5" s="17"/>
      <c r="I5" s="17"/>
      <c r="J5" s="17">
        <f>SUM(J6:J12)</f>
        <v>0</v>
      </c>
      <c r="K5" s="17"/>
      <c r="L5" s="17"/>
      <c r="M5" s="17"/>
      <c r="N5" s="17">
        <f>SUM(N6:N12)</f>
        <v>3977.3169640936239</v>
      </c>
      <c r="O5" s="17">
        <f>B38*B39*B40</f>
        <v>6.2533333333333339</v>
      </c>
      <c r="P5" s="17">
        <f>B46*B47*B48/1000-B46*B47*B48/1000/B49</f>
        <v>152.53333333333333</v>
      </c>
      <c r="R5" s="32"/>
    </row>
    <row r="6" spans="1:18">
      <c r="A6" s="32" t="s">
        <v>54</v>
      </c>
      <c r="B6" s="37">
        <f>B26</f>
        <v>19035.144602</v>
      </c>
      <c r="C6" s="33"/>
      <c r="D6" s="37">
        <f>IF(ISERROR(TER_kantoor_gas_kWh/1000),0,TER_kantoor_gas_kWh/1000)*0.902</f>
        <v>36761.223905692001</v>
      </c>
      <c r="E6" s="33">
        <f>$C$26*'E Balans VL '!I12/100/3.6*1000000</f>
        <v>249.19349073829005</v>
      </c>
      <c r="F6" s="33">
        <f>$C$26*('E Balans VL '!L12+'E Balans VL '!N12)/100/3.6*1000000</f>
        <v>4853.7651716734608</v>
      </c>
      <c r="G6" s="34"/>
      <c r="H6" s="33"/>
      <c r="I6" s="33"/>
      <c r="J6" s="33">
        <f>$C$26*('E Balans VL '!D12+'E Balans VL '!E12)/100/3.6*1000000</f>
        <v>0</v>
      </c>
      <c r="K6" s="33"/>
      <c r="L6" s="33"/>
      <c r="M6" s="33"/>
      <c r="N6" s="33">
        <f>$C$26*'E Balans VL '!Y12/100/3.6*1000000</f>
        <v>19.099244431871416</v>
      </c>
      <c r="O6" s="33"/>
      <c r="P6" s="33"/>
      <c r="R6" s="32"/>
    </row>
    <row r="7" spans="1:18">
      <c r="A7" s="32" t="s">
        <v>53</v>
      </c>
      <c r="B7" s="37">
        <f t="shared" ref="B7:B12" si="0">B27</f>
        <v>8142.0106612</v>
      </c>
      <c r="C7" s="33"/>
      <c r="D7" s="37">
        <f>IF(ISERROR(TER_horeca_gas_kWh/1000),0,TER_horeca_gas_kWh/1000)*0.902</f>
        <v>16042.259367684002</v>
      </c>
      <c r="E7" s="33">
        <f>$C$27*'E Balans VL '!I9/100/3.6*1000000</f>
        <v>269.45102669627056</v>
      </c>
      <c r="F7" s="33">
        <f>$C$27*('E Balans VL '!L9+'E Balans VL '!N9)/100/3.6*1000000</f>
        <v>3501.033380351465</v>
      </c>
      <c r="G7" s="34"/>
      <c r="H7" s="33"/>
      <c r="I7" s="33"/>
      <c r="J7" s="33">
        <f>$C$27*('E Balans VL '!D9+'E Balans VL '!E9)/100/3.6*1000000</f>
        <v>0</v>
      </c>
      <c r="K7" s="33"/>
      <c r="L7" s="33"/>
      <c r="M7" s="33"/>
      <c r="N7" s="33">
        <f>$C$27*'E Balans VL '!Y9/100/3.6*1000000</f>
        <v>1.9599002011208502</v>
      </c>
      <c r="O7" s="33"/>
      <c r="P7" s="33"/>
      <c r="R7" s="32"/>
    </row>
    <row r="8" spans="1:18">
      <c r="A8" s="6" t="s">
        <v>52</v>
      </c>
      <c r="B8" s="37">
        <f t="shared" si="0"/>
        <v>32876.913367000001</v>
      </c>
      <c r="C8" s="33"/>
      <c r="D8" s="37">
        <f>IF(ISERROR(TER_handel_gas_kWh/1000),0,TER_handel_gas_kWh/1000)*0.902</f>
        <v>22162.920575466</v>
      </c>
      <c r="E8" s="33">
        <f>$C$28*'E Balans VL '!I13/100/3.6*1000000</f>
        <v>1037.6456202908373</v>
      </c>
      <c r="F8" s="33">
        <f>$C$28*('E Balans VL '!L13+'E Balans VL '!N13)/100/3.6*1000000</f>
        <v>6447.7416377701493</v>
      </c>
      <c r="G8" s="34"/>
      <c r="H8" s="33"/>
      <c r="I8" s="33"/>
      <c r="J8" s="33">
        <f>$C$28*('E Balans VL '!D13+'E Balans VL '!E13)/100/3.6*1000000</f>
        <v>0</v>
      </c>
      <c r="K8" s="33"/>
      <c r="L8" s="33"/>
      <c r="M8" s="33"/>
      <c r="N8" s="33">
        <f>$C$28*'E Balans VL '!Y13/100/3.6*1000000</f>
        <v>39.018513192259171</v>
      </c>
      <c r="O8" s="33"/>
      <c r="P8" s="33"/>
      <c r="R8" s="32"/>
    </row>
    <row r="9" spans="1:18">
      <c r="A9" s="32" t="s">
        <v>51</v>
      </c>
      <c r="B9" s="37">
        <f t="shared" si="0"/>
        <v>14668.397201</v>
      </c>
      <c r="C9" s="33"/>
      <c r="D9" s="37">
        <f>IF(ISERROR(TER_gezond_gas_kWh/1000),0,TER_gezond_gas_kWh/1000)*0.902</f>
        <v>17532.167768081996</v>
      </c>
      <c r="E9" s="33">
        <f>$C$29*'E Balans VL '!I10/100/3.6*1000000</f>
        <v>1.8779839561668703</v>
      </c>
      <c r="F9" s="33">
        <f>$C$29*('E Balans VL '!L10+'E Balans VL '!N10)/100/3.6*1000000</f>
        <v>3056.041945838158</v>
      </c>
      <c r="G9" s="34"/>
      <c r="H9" s="33"/>
      <c r="I9" s="33"/>
      <c r="J9" s="33">
        <f>$C$29*('E Balans VL '!D10+'E Balans VL '!E10)/100/3.6*1000000</f>
        <v>0</v>
      </c>
      <c r="K9" s="33"/>
      <c r="L9" s="33"/>
      <c r="M9" s="33"/>
      <c r="N9" s="33">
        <f>$C$29*'E Balans VL '!Y10/100/3.6*1000000</f>
        <v>172.28725832174052</v>
      </c>
      <c r="O9" s="33"/>
      <c r="P9" s="33"/>
      <c r="R9" s="32"/>
    </row>
    <row r="10" spans="1:18">
      <c r="A10" s="32" t="s">
        <v>50</v>
      </c>
      <c r="B10" s="37">
        <f t="shared" si="0"/>
        <v>4260.4787821999998</v>
      </c>
      <c r="C10" s="33"/>
      <c r="D10" s="37">
        <f>IF(ISERROR(TER_ander_gas_kWh/1000),0,TER_ander_gas_kWh/1000)*0.902</f>
        <v>7537.5174229321992</v>
      </c>
      <c r="E10" s="33">
        <f>$C$30*'E Balans VL '!I14/100/3.6*1000000</f>
        <v>6.4067581704311607</v>
      </c>
      <c r="F10" s="33">
        <f>$C$30*('E Balans VL '!L14+'E Balans VL '!N14)/100/3.6*1000000</f>
        <v>940.57638029324175</v>
      </c>
      <c r="G10" s="34"/>
      <c r="H10" s="33"/>
      <c r="I10" s="33"/>
      <c r="J10" s="33">
        <f>$C$30*('E Balans VL '!D14+'E Balans VL '!E14)/100/3.6*1000000</f>
        <v>0</v>
      </c>
      <c r="K10" s="33"/>
      <c r="L10" s="33"/>
      <c r="M10" s="33"/>
      <c r="N10" s="33">
        <f>$C$30*'E Balans VL '!Y14/100/3.6*1000000</f>
        <v>3357.5439997852441</v>
      </c>
      <c r="O10" s="33"/>
      <c r="P10" s="33"/>
      <c r="R10" s="32"/>
    </row>
    <row r="11" spans="1:18">
      <c r="A11" s="32" t="s">
        <v>55</v>
      </c>
      <c r="B11" s="37">
        <f t="shared" si="0"/>
        <v>3318.1239319000001</v>
      </c>
      <c r="C11" s="33"/>
      <c r="D11" s="37">
        <f>IF(ISERROR(TER_onderwijs_gas_kWh/1000),0,TER_onderwijs_gas_kWh/1000)*0.902</f>
        <v>7671.8966026120015</v>
      </c>
      <c r="E11" s="33">
        <f>$C$31*'E Balans VL '!I11/100/3.6*1000000</f>
        <v>5.8434943019002485</v>
      </c>
      <c r="F11" s="33">
        <f>$C$31*('E Balans VL '!L11+'E Balans VL '!N11)/100/3.6*1000000</f>
        <v>1532.0378607114737</v>
      </c>
      <c r="G11" s="34"/>
      <c r="H11" s="33"/>
      <c r="I11" s="33"/>
      <c r="J11" s="33">
        <f>$C$31*('E Balans VL '!D11+'E Balans VL '!E11)/100/3.6*1000000</f>
        <v>0</v>
      </c>
      <c r="K11" s="33"/>
      <c r="L11" s="33"/>
      <c r="M11" s="33"/>
      <c r="N11" s="33">
        <f>$C$31*'E Balans VL '!Y11/100/3.6*1000000</f>
        <v>6.1817107707312884</v>
      </c>
      <c r="O11" s="33"/>
      <c r="P11" s="33"/>
      <c r="R11" s="32"/>
    </row>
    <row r="12" spans="1:18">
      <c r="A12" s="32" t="s">
        <v>260</v>
      </c>
      <c r="B12" s="37">
        <f t="shared" si="0"/>
        <v>4320.2389057999999</v>
      </c>
      <c r="C12" s="33"/>
      <c r="D12" s="37">
        <f>IF(ISERROR(TER_rest_gas_kWh/1000),0,TER_rest_gas_kWh/1000)*0.902</f>
        <v>10452.679737676001</v>
      </c>
      <c r="E12" s="33">
        <f>$C$32*'E Balans VL '!I8/100/3.6*1000000</f>
        <v>76.06433644397579</v>
      </c>
      <c r="F12" s="33">
        <f>$C$32*('E Balans VL '!L8+'E Balans VL '!N8)/100/3.6*1000000</f>
        <v>1113.0288706268575</v>
      </c>
      <c r="G12" s="34"/>
      <c r="H12" s="33"/>
      <c r="I12" s="33"/>
      <c r="J12" s="33">
        <f>$C$32*('E Balans VL '!D8+'E Balans VL '!E8)/100/3.6*1000000</f>
        <v>0</v>
      </c>
      <c r="K12" s="33"/>
      <c r="L12" s="33"/>
      <c r="M12" s="33"/>
      <c r="N12" s="33">
        <f>$C$32*'E Balans VL '!Y8/100/3.6*1000000</f>
        <v>381.22633739065662</v>
      </c>
      <c r="O12" s="33"/>
      <c r="P12" s="33"/>
      <c r="R12" s="32"/>
    </row>
    <row r="13" spans="1:18">
      <c r="A13" s="16" t="s">
        <v>491</v>
      </c>
      <c r="B13" s="247">
        <f ca="1">'lokale energieproductie'!N90+'lokale energieproductie'!N59</f>
        <v>1656</v>
      </c>
      <c r="C13" s="247">
        <f ca="1">'lokale energieproductie'!O90+'lokale energieproductie'!O59</f>
        <v>1575.0000000000002</v>
      </c>
      <c r="D13" s="310">
        <f ca="1">('lokale energieproductie'!P59+'lokale energieproductie'!P90)*(-1)</f>
        <v>-2100.0000000000005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-3831.4285714285716</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88277.307451100001</v>
      </c>
      <c r="C16" s="21">
        <f t="shared" ca="1" si="1"/>
        <v>1575.0000000000002</v>
      </c>
      <c r="D16" s="21">
        <f t="shared" ca="1" si="1"/>
        <v>116060.6653801442</v>
      </c>
      <c r="E16" s="21">
        <f t="shared" si="1"/>
        <v>1646.482710597872</v>
      </c>
      <c r="F16" s="21">
        <f t="shared" ca="1" si="1"/>
        <v>21444.225247264807</v>
      </c>
      <c r="G16" s="21">
        <f t="shared" si="1"/>
        <v>0</v>
      </c>
      <c r="H16" s="21">
        <f t="shared" si="1"/>
        <v>0</v>
      </c>
      <c r="I16" s="21">
        <f t="shared" si="1"/>
        <v>0</v>
      </c>
      <c r="J16" s="21">
        <f t="shared" si="1"/>
        <v>0</v>
      </c>
      <c r="K16" s="21">
        <f t="shared" si="1"/>
        <v>0</v>
      </c>
      <c r="L16" s="21">
        <f t="shared" ca="1" si="1"/>
        <v>0</v>
      </c>
      <c r="M16" s="21">
        <f t="shared" si="1"/>
        <v>0</v>
      </c>
      <c r="N16" s="21">
        <f t="shared" ca="1" si="1"/>
        <v>145.88839266505238</v>
      </c>
      <c r="O16" s="21">
        <f>O5</f>
        <v>6.2533333333333339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0.21037913829974941</v>
      </c>
      <c r="C18" s="25">
        <f ca="1">'EF ele_warmte'!B22</f>
        <v>0.23482101686688509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18571.703872984468</v>
      </c>
      <c r="C20" s="23">
        <f t="shared" ref="C20:P20" ca="1" si="2">C16*C18</f>
        <v>369.84310156534406</v>
      </c>
      <c r="D20" s="23">
        <f t="shared" ca="1" si="2"/>
        <v>23444.254406789129</v>
      </c>
      <c r="E20" s="23">
        <f t="shared" si="2"/>
        <v>373.75157530571698</v>
      </c>
      <c r="F20" s="23">
        <f t="shared" ca="1" si="2"/>
        <v>5725.6081410197039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19035.144602</v>
      </c>
      <c r="C26" s="39">
        <f>IF(ISERROR(B26*3.6/1000000/'E Balans VL '!Z12*100),0,B26*3.6/1000000/'E Balans VL '!Z12*100)</f>
        <v>0.4077475852028502</v>
      </c>
      <c r="D26" s="237" t="s">
        <v>660</v>
      </c>
      <c r="F26" s="6"/>
    </row>
    <row r="27" spans="1:18">
      <c r="A27" s="231" t="s">
        <v>53</v>
      </c>
      <c r="B27" s="33">
        <f>IF(ISERROR(TER_horeca_ele_kWh/1000),0,TER_horeca_ele_kWh/1000)</f>
        <v>8142.0106612</v>
      </c>
      <c r="C27" s="39">
        <f>IF(ISERROR(B27*3.6/1000000/'E Balans VL '!Z9*100),0,B27*3.6/1000000/'E Balans VL '!Z9*100)</f>
        <v>0.6533680542211181</v>
      </c>
      <c r="D27" s="237" t="s">
        <v>660</v>
      </c>
      <c r="F27" s="6"/>
    </row>
    <row r="28" spans="1:18">
      <c r="A28" s="171" t="s">
        <v>52</v>
      </c>
      <c r="B28" s="33">
        <f>IF(ISERROR(TER_handel_ele_kWh/1000),0,TER_handel_ele_kWh/1000)</f>
        <v>32876.913367000001</v>
      </c>
      <c r="C28" s="39">
        <f>IF(ISERROR(B28*3.6/1000000/'E Balans VL '!Z13*100),0,B28*3.6/1000000/'E Balans VL '!Z13*100)</f>
        <v>0.96968036987305095</v>
      </c>
      <c r="D28" s="237" t="s">
        <v>660</v>
      </c>
      <c r="F28" s="6"/>
    </row>
    <row r="29" spans="1:18">
      <c r="A29" s="231" t="s">
        <v>51</v>
      </c>
      <c r="B29" s="33">
        <f>IF(ISERROR(TER_gezond_ele_kWh/1000),0,TER_gezond_ele_kWh/1000)</f>
        <v>14668.397201</v>
      </c>
      <c r="C29" s="39">
        <f>IF(ISERROR(B29*3.6/1000000/'E Balans VL '!Z10*100),0,B29*3.6/1000000/'E Balans VL '!Z10*100)</f>
        <v>1.5661915465901697</v>
      </c>
      <c r="D29" s="237" t="s">
        <v>660</v>
      </c>
      <c r="F29" s="6"/>
    </row>
    <row r="30" spans="1:18">
      <c r="A30" s="231" t="s">
        <v>50</v>
      </c>
      <c r="B30" s="33">
        <f>IF(ISERROR(TER_ander_ele_kWh/1000),0,TER_ander_ele_kWh/1000)</f>
        <v>4260.4787821999998</v>
      </c>
      <c r="C30" s="39">
        <f>IF(ISERROR(B30*3.6/1000000/'E Balans VL '!Z14*100),0,B30*3.6/1000000/'E Balans VL '!Z14*100)</f>
        <v>0.32181069264490203</v>
      </c>
      <c r="D30" s="237" t="s">
        <v>660</v>
      </c>
      <c r="F30" s="6"/>
    </row>
    <row r="31" spans="1:18">
      <c r="A31" s="231" t="s">
        <v>55</v>
      </c>
      <c r="B31" s="33">
        <f>IF(ISERROR(TER_onderwijs_ele_kWh/1000),0,TER_onderwijs_ele_kWh/1000)</f>
        <v>3318.1239319000001</v>
      </c>
      <c r="C31" s="39">
        <f>IF(ISERROR(B31*3.6/1000000/'E Balans VL '!Z11*100),0,B31*3.6/1000000/'E Balans VL '!Z11*100)</f>
        <v>0.67003998938471532</v>
      </c>
      <c r="D31" s="237" t="s">
        <v>660</v>
      </c>
    </row>
    <row r="32" spans="1:18">
      <c r="A32" s="231" t="s">
        <v>260</v>
      </c>
      <c r="B32" s="33">
        <f>IF(ISERROR(TER_rest_ele_kWh/1000),0,TER_rest_ele_kWh/1000)</f>
        <v>4320.2389057999999</v>
      </c>
      <c r="C32" s="39">
        <f>IF(ISERROR(B32*3.6/1000000/'E Balans VL '!Z8*100),0,B32*3.6/1000000/'E Balans VL '!Z8*100)</f>
        <v>3.5820796418358974E-2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8</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184690.09711653</v>
      </c>
      <c r="C5" s="17">
        <f>IF(ISERROR('Eigen informatie GS &amp; warmtenet'!B59),0,'Eigen informatie GS &amp; warmtenet'!B59)</f>
        <v>0</v>
      </c>
      <c r="D5" s="30">
        <f>SUM(D6:D15)</f>
        <v>155717.38666162034</v>
      </c>
      <c r="E5" s="17">
        <f>SUM(E6:E15)</f>
        <v>9523.9954336567134</v>
      </c>
      <c r="F5" s="17">
        <f>SUM(F6:F15)</f>
        <v>39213.956526337817</v>
      </c>
      <c r="G5" s="18"/>
      <c r="H5" s="17"/>
      <c r="I5" s="17"/>
      <c r="J5" s="17">
        <f>SUM(J6:J15)</f>
        <v>2666.3709953868802</v>
      </c>
      <c r="K5" s="17"/>
      <c r="L5" s="17"/>
      <c r="M5" s="17"/>
      <c r="N5" s="17">
        <f>SUM(N6:N15)</f>
        <v>81966.525167333428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875.33384478000005</v>
      </c>
      <c r="C8" s="33"/>
      <c r="D8" s="37">
        <f>IF( ISERROR(IND_metaal_Gas_kWH/1000),0,IND_metaal_Gas_kWH/1000)*0.902</f>
        <v>718.29535360440013</v>
      </c>
      <c r="E8" s="33">
        <f>C30*'E Balans VL '!I18/100/3.6*1000000</f>
        <v>31.497159799571865</v>
      </c>
      <c r="F8" s="33">
        <f>C30*'E Balans VL '!L18/100/3.6*1000000+C30*'E Balans VL '!N18/100/3.6*1000000</f>
        <v>382.22991474506995</v>
      </c>
      <c r="G8" s="34"/>
      <c r="H8" s="33"/>
      <c r="I8" s="33"/>
      <c r="J8" s="40">
        <f>C30*'E Balans VL '!D18/100/3.6*1000000+C30*'E Balans VL '!E18/100/3.6*1000000</f>
        <v>0</v>
      </c>
      <c r="K8" s="33"/>
      <c r="L8" s="33"/>
      <c r="M8" s="33"/>
      <c r="N8" s="33">
        <f>C30*'E Balans VL '!Y18/100/3.6*1000000</f>
        <v>43.871137447995757</v>
      </c>
      <c r="O8" s="33"/>
      <c r="P8" s="33"/>
      <c r="R8" s="32"/>
    </row>
    <row r="9" spans="1:18">
      <c r="A9" s="6" t="s">
        <v>33</v>
      </c>
      <c r="B9" s="37">
        <f t="shared" si="0"/>
        <v>11900.709895</v>
      </c>
      <c r="C9" s="33"/>
      <c r="D9" s="37">
        <f>IF( ISERROR(IND_andere_gas_kWh/1000),0,IND_andere_gas_kWh/1000)*0.902</f>
        <v>5161.7326888072002</v>
      </c>
      <c r="E9" s="33">
        <f>C31*'E Balans VL '!I19/100/3.6*1000000</f>
        <v>3036.7919041009027</v>
      </c>
      <c r="F9" s="33">
        <f>C31*'E Balans VL '!L19/100/3.6*1000000+C31*'E Balans VL '!N19/100/3.6*1000000</f>
        <v>10245.616727464427</v>
      </c>
      <c r="G9" s="34"/>
      <c r="H9" s="33"/>
      <c r="I9" s="33"/>
      <c r="J9" s="40">
        <f>C31*'E Balans VL '!D19/100/3.6*1000000+C31*'E Balans VL '!E19/100/3.6*1000000</f>
        <v>0</v>
      </c>
      <c r="K9" s="33"/>
      <c r="L9" s="33"/>
      <c r="M9" s="33"/>
      <c r="N9" s="33">
        <f>C31*'E Balans VL '!Y19/100/3.6*1000000</f>
        <v>3721.7595409156747</v>
      </c>
      <c r="O9" s="33"/>
      <c r="P9" s="33"/>
      <c r="R9" s="32"/>
    </row>
    <row r="10" spans="1:18">
      <c r="A10" s="6" t="s">
        <v>41</v>
      </c>
      <c r="B10" s="37">
        <f t="shared" si="0"/>
        <v>19656.752166999999</v>
      </c>
      <c r="C10" s="33"/>
      <c r="D10" s="37">
        <f>IF( ISERROR(IND_voed_gas_kWh/1000),0,IND_voed_gas_kWh/1000)*0.902</f>
        <v>35965.025455128001</v>
      </c>
      <c r="E10" s="33">
        <f>C32*'E Balans VL '!I20/100/3.6*1000000</f>
        <v>499.70163101772675</v>
      </c>
      <c r="F10" s="33">
        <f>C32*'E Balans VL '!L20/100/3.6*1000000+C32*'E Balans VL '!N20/100/3.6*1000000</f>
        <v>4448.0279420949373</v>
      </c>
      <c r="G10" s="34"/>
      <c r="H10" s="33"/>
      <c r="I10" s="33"/>
      <c r="J10" s="40">
        <f>C32*'E Balans VL '!D20/100/3.6*1000000+C32*'E Balans VL '!E20/100/3.6*1000000</f>
        <v>0</v>
      </c>
      <c r="K10" s="33"/>
      <c r="L10" s="33"/>
      <c r="M10" s="33"/>
      <c r="N10" s="33">
        <f>C32*'E Balans VL '!Y20/100/3.6*1000000</f>
        <v>7371.8148798501388</v>
      </c>
      <c r="O10" s="33"/>
      <c r="P10" s="33"/>
      <c r="R10" s="32"/>
    </row>
    <row r="11" spans="1:18">
      <c r="A11" s="6" t="s">
        <v>40</v>
      </c>
      <c r="B11" s="37">
        <f t="shared" si="0"/>
        <v>14.85190467</v>
      </c>
      <c r="C11" s="33"/>
      <c r="D11" s="37">
        <f>IF( ISERROR(IND_textiel_gas_kWh/1000),0,IND_textiel_gas_kWh/1000)*0.902</f>
        <v>74.008794702766011</v>
      </c>
      <c r="E11" s="33">
        <f>C33*'E Balans VL '!I21/100/3.6*1000000</f>
        <v>4.0772472335684547E-2</v>
      </c>
      <c r="F11" s="33">
        <f>C33*'E Balans VL '!L21/100/3.6*1000000+C33*'E Balans VL '!N21/100/3.6*1000000</f>
        <v>0.7873860897411139</v>
      </c>
      <c r="G11" s="34"/>
      <c r="H11" s="33"/>
      <c r="I11" s="33"/>
      <c r="J11" s="40">
        <f>C33*'E Balans VL '!D21/100/3.6*1000000+C33*'E Balans VL '!E21/100/3.6*1000000</f>
        <v>0</v>
      </c>
      <c r="K11" s="33"/>
      <c r="L11" s="33"/>
      <c r="M11" s="33"/>
      <c r="N11" s="33">
        <f>C33*'E Balans VL '!Y21/100/3.6*1000000</f>
        <v>2.9849870654807327E-2</v>
      </c>
      <c r="O11" s="33"/>
      <c r="P11" s="33"/>
      <c r="R11" s="32"/>
    </row>
    <row r="12" spans="1:18">
      <c r="A12" s="6" t="s">
        <v>37</v>
      </c>
      <c r="B12" s="37">
        <f t="shared" si="0"/>
        <v>452.41119608000002</v>
      </c>
      <c r="C12" s="33"/>
      <c r="D12" s="37">
        <f>IF( ISERROR(IND_min_gas_kWh/1000),0,IND_min_gas_kWh/1000)*0.902</f>
        <v>0</v>
      </c>
      <c r="E12" s="33">
        <f>C34*'E Balans VL '!I22/100/3.6*1000000</f>
        <v>9.6126040737100809</v>
      </c>
      <c r="F12" s="33">
        <f>C34*'E Balans VL '!L22/100/3.6*1000000+C34*'E Balans VL '!N22/100/3.6*1000000</f>
        <v>73.814742133279765</v>
      </c>
      <c r="G12" s="34"/>
      <c r="H12" s="33"/>
      <c r="I12" s="33"/>
      <c r="J12" s="40">
        <f>C34*'E Balans VL '!D22/100/3.6*1000000+C34*'E Balans VL '!E22/100/3.6*1000000</f>
        <v>0.52710126267763024</v>
      </c>
      <c r="K12" s="33"/>
      <c r="L12" s="33"/>
      <c r="M12" s="33"/>
      <c r="N12" s="33">
        <f>C34*'E Balans VL '!Y22/100/3.6*1000000</f>
        <v>0</v>
      </c>
      <c r="O12" s="33"/>
      <c r="P12" s="33"/>
      <c r="R12" s="32"/>
    </row>
    <row r="13" spans="1:18">
      <c r="A13" s="6" t="s">
        <v>39</v>
      </c>
      <c r="B13" s="37">
        <f t="shared" si="0"/>
        <v>26908.408879000002</v>
      </c>
      <c r="C13" s="33"/>
      <c r="D13" s="37">
        <f>IF( ISERROR(IND_papier_gas_kWh/1000),0,IND_papier_gas_kWh/1000)*0.902</f>
        <v>28004.490959588002</v>
      </c>
      <c r="E13" s="33">
        <f>C35*'E Balans VL '!I23/100/3.6*1000000</f>
        <v>115.40233754736049</v>
      </c>
      <c r="F13" s="33">
        <f>C35*'E Balans VL '!L23/100/3.6*1000000+C35*'E Balans VL '!N23/100/3.6*1000000</f>
        <v>676.29183351364645</v>
      </c>
      <c r="G13" s="34"/>
      <c r="H13" s="33"/>
      <c r="I13" s="33"/>
      <c r="J13" s="40">
        <f>C35*'E Balans VL '!D23/100/3.6*1000000+C35*'E Balans VL '!E23/100/3.6*1000000</f>
        <v>1801.3703878974629</v>
      </c>
      <c r="K13" s="33"/>
      <c r="L13" s="33"/>
      <c r="M13" s="33"/>
      <c r="N13" s="33">
        <f>C35*'E Balans VL '!Y23/100/3.6*1000000</f>
        <v>48979.70322355086</v>
      </c>
      <c r="O13" s="33"/>
      <c r="P13" s="33"/>
      <c r="R13" s="32"/>
    </row>
    <row r="14" spans="1:18">
      <c r="A14" s="6" t="s">
        <v>34</v>
      </c>
      <c r="B14" s="37">
        <f t="shared" si="0"/>
        <v>18250.176800000001</v>
      </c>
      <c r="C14" s="33"/>
      <c r="D14" s="37">
        <f>IF( ISERROR(IND_chemie_gas_kWh/1000),0,IND_chemie_gas_kWh/1000)*0.902</f>
        <v>11363.004790874</v>
      </c>
      <c r="E14" s="33">
        <f>C36*'E Balans VL '!I24/100/3.6*1000000</f>
        <v>43.751940228319292</v>
      </c>
      <c r="F14" s="33">
        <f>C36*'E Balans VL '!L24/100/3.6*1000000+C36*'E Balans VL '!N24/100/3.6*1000000</f>
        <v>146.46179708717236</v>
      </c>
      <c r="G14" s="34"/>
      <c r="H14" s="33"/>
      <c r="I14" s="33"/>
      <c r="J14" s="40">
        <f>C36*'E Balans VL '!D24/100/3.6*1000000+C36*'E Balans VL '!E24/100/3.6*1000000</f>
        <v>0</v>
      </c>
      <c r="K14" s="33"/>
      <c r="L14" s="33"/>
      <c r="M14" s="33"/>
      <c r="N14" s="33">
        <f>C36*'E Balans VL '!Y24/100/3.6*1000000</f>
        <v>377.21700580974164</v>
      </c>
      <c r="O14" s="33"/>
      <c r="P14" s="33"/>
      <c r="R14" s="32"/>
    </row>
    <row r="15" spans="1:18">
      <c r="A15" s="6" t="s">
        <v>270</v>
      </c>
      <c r="B15" s="37">
        <f t="shared" si="0"/>
        <v>106631.45243</v>
      </c>
      <c r="C15" s="33"/>
      <c r="D15" s="37">
        <f>IF( ISERROR(IND_rest_gas_kWh/1000),0,IND_rest_gas_kWh/1000)*0.902</f>
        <v>74430.828618915999</v>
      </c>
      <c r="E15" s="33">
        <f>C37*'E Balans VL '!I15/100/3.6*1000000</f>
        <v>5787.1970844167872</v>
      </c>
      <c r="F15" s="33">
        <f>C37*'E Balans VL '!L15/100/3.6*1000000+C37*'E Balans VL '!N15/100/3.6*1000000</f>
        <v>23240.726183209539</v>
      </c>
      <c r="G15" s="34"/>
      <c r="H15" s="33"/>
      <c r="I15" s="33"/>
      <c r="J15" s="40">
        <f>C37*'E Balans VL '!D15/100/3.6*1000000+C37*'E Balans VL '!E15/100/3.6*1000000</f>
        <v>864.4735062267398</v>
      </c>
      <c r="K15" s="33"/>
      <c r="L15" s="33"/>
      <c r="M15" s="33"/>
      <c r="N15" s="33">
        <f>C37*'E Balans VL '!Y15/100/3.6*1000000</f>
        <v>21472.129529888367</v>
      </c>
      <c r="O15" s="33"/>
      <c r="P15" s="33"/>
      <c r="R15" s="32"/>
    </row>
    <row r="16" spans="1:18">
      <c r="A16" s="16" t="s">
        <v>491</v>
      </c>
      <c r="B16" s="247">
        <f>'lokale energieproductie'!N89+'lokale energieproductie'!N58</f>
        <v>2857.5</v>
      </c>
      <c r="C16" s="247">
        <f>'lokale energieproductie'!O89+'lokale energieproductie'!O58</f>
        <v>4082.1428571428573</v>
      </c>
      <c r="D16" s="310">
        <f>('lokale energieproductie'!P58+'lokale energieproductie'!P89)*(-1)</f>
        <v>-8164.2857142857147</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187547.59711653</v>
      </c>
      <c r="C18" s="21">
        <f>C5+C16</f>
        <v>4082.1428571428573</v>
      </c>
      <c r="D18" s="21">
        <f>MAX((D5+D16),0)</f>
        <v>147553.10094733463</v>
      </c>
      <c r="E18" s="21">
        <f>MAX((E5+E16),0)</f>
        <v>9523.9954336567134</v>
      </c>
      <c r="F18" s="21">
        <f>MAX((F5+F16),0)</f>
        <v>39213.956526337817</v>
      </c>
      <c r="G18" s="21"/>
      <c r="H18" s="21"/>
      <c r="I18" s="21"/>
      <c r="J18" s="21">
        <f>MAX((J5+J16),0)</f>
        <v>2666.3709953868802</v>
      </c>
      <c r="K18" s="21"/>
      <c r="L18" s="21">
        <f>MAX((L5+L16),0)</f>
        <v>0</v>
      </c>
      <c r="M18" s="21"/>
      <c r="N18" s="21">
        <f>MAX((N5+N16),0)</f>
        <v>81966.525167333428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0.21037913829974941</v>
      </c>
      <c r="C20" s="25">
        <f ca="1">'EF ele_warmte'!B22</f>
        <v>0.23482101686688509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39456.101871564148</v>
      </c>
      <c r="C22" s="23">
        <f ca="1">C18*C20</f>
        <v>958.57293671017737</v>
      </c>
      <c r="D22" s="23">
        <f>D18*D20</f>
        <v>29805.726391361597</v>
      </c>
      <c r="E22" s="23">
        <f>E18*E20</f>
        <v>2161.9469634400739</v>
      </c>
      <c r="F22" s="23">
        <f>F18*F20</f>
        <v>10470.126392532198</v>
      </c>
      <c r="G22" s="23"/>
      <c r="H22" s="23"/>
      <c r="I22" s="23"/>
      <c r="J22" s="23">
        <f>J18*J20</f>
        <v>943.89533236695559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875.33384478000005</v>
      </c>
      <c r="C30" s="39">
        <f>IF(ISERROR(B30*3.6/1000000/'E Balans VL '!Z18*100),0,B30*3.6/1000000/'E Balans VL '!Z18*100)</f>
        <v>0.1854644750458555</v>
      </c>
      <c r="D30" s="237" t="s">
        <v>660</v>
      </c>
    </row>
    <row r="31" spans="1:18">
      <c r="A31" s="6" t="s">
        <v>33</v>
      </c>
      <c r="B31" s="37">
        <f>IF( ISERROR(IND_ander_ele_kWh/1000),0,IND_ander_ele_kWh/1000)</f>
        <v>11900.709895</v>
      </c>
      <c r="C31" s="39">
        <f>IF(ISERROR(B31*3.6/1000000/'E Balans VL '!Z19*100),0,B31*3.6/1000000/'E Balans VL '!Z19*100)</f>
        <v>0.50092790200760462</v>
      </c>
      <c r="D31" s="237" t="s">
        <v>660</v>
      </c>
    </row>
    <row r="32" spans="1:18">
      <c r="A32" s="171" t="s">
        <v>41</v>
      </c>
      <c r="B32" s="37">
        <f>IF( ISERROR(IND_voed_ele_kWh/1000),0,IND_voed_ele_kWh/1000)</f>
        <v>19656.752166999999</v>
      </c>
      <c r="C32" s="39">
        <f>IF(ISERROR(B32*3.6/1000000/'E Balans VL '!Z20*100),0,B32*3.6/1000000/'E Balans VL '!Z20*100)</f>
        <v>3.2838828503521293</v>
      </c>
      <c r="D32" s="237" t="s">
        <v>660</v>
      </c>
    </row>
    <row r="33" spans="1:5">
      <c r="A33" s="171" t="s">
        <v>40</v>
      </c>
      <c r="B33" s="37">
        <f>IF( ISERROR(IND_textiel_ele_kWh/1000),0,IND_textiel_ele_kWh/1000)</f>
        <v>14.85190467</v>
      </c>
      <c r="C33" s="39">
        <f>IF(ISERROR(B33*3.6/1000000/'E Balans VL '!Z21*100),0,B33*3.6/1000000/'E Balans VL '!Z21*100)</f>
        <v>8.6709863921008944E-4</v>
      </c>
      <c r="D33" s="237" t="s">
        <v>660</v>
      </c>
    </row>
    <row r="34" spans="1:5">
      <c r="A34" s="171" t="s">
        <v>37</v>
      </c>
      <c r="B34" s="37">
        <f>IF( ISERROR(IND_min_ele_kWh/1000),0,IND_min_ele_kWh/1000)</f>
        <v>452.41119608000002</v>
      </c>
      <c r="C34" s="39">
        <f>IF(ISERROR(B34*3.6/1000000/'E Balans VL '!Z22*100),0,B34*3.6/1000000/'E Balans VL '!Z22*100)</f>
        <v>5.7345558949514458E-2</v>
      </c>
      <c r="D34" s="237" t="s">
        <v>660</v>
      </c>
    </row>
    <row r="35" spans="1:5">
      <c r="A35" s="171" t="s">
        <v>39</v>
      </c>
      <c r="B35" s="37">
        <f>IF( ISERROR(IND_papier_ele_kWh/1000),0,IND_papier_ele_kWh/1000)</f>
        <v>26908.408879000002</v>
      </c>
      <c r="C35" s="39">
        <f>IF(ISERROR(B35*3.6/1000000/'E Balans VL '!Z22*100),0,B35*3.6/1000000/'E Balans VL '!Z22*100)</f>
        <v>3.4107859420337379</v>
      </c>
      <c r="D35" s="237" t="s">
        <v>660</v>
      </c>
    </row>
    <row r="36" spans="1:5">
      <c r="A36" s="171" t="s">
        <v>34</v>
      </c>
      <c r="B36" s="37">
        <f>IF( ISERROR(IND_chemie_ele_kWh/1000),0,IND_chemie_ele_kWh/1000)</f>
        <v>18250.176800000001</v>
      </c>
      <c r="C36" s="39">
        <f>IF(ISERROR(B36*3.6/1000000/'E Balans VL '!Z24*100),0,B36*3.6/1000000/'E Balans VL '!Z24*100)</f>
        <v>0.59276633099055742</v>
      </c>
      <c r="D36" s="237" t="s">
        <v>660</v>
      </c>
    </row>
    <row r="37" spans="1:5">
      <c r="A37" s="171" t="s">
        <v>270</v>
      </c>
      <c r="B37" s="37">
        <f>IF( ISERROR(IND_rest_ele_kWh/1000),0,IND_rest_ele_kWh/1000)</f>
        <v>106631.45243</v>
      </c>
      <c r="C37" s="39">
        <f>IF(ISERROR(B37*3.6/1000000/'E Balans VL '!Z15*100),0,B37*3.6/1000000/'E Balans VL '!Z15*100)</f>
        <v>0.86087700505822762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1434.6653547799999</v>
      </c>
      <c r="C5" s="17">
        <f>'Eigen informatie GS &amp; warmtenet'!B60</f>
        <v>0</v>
      </c>
      <c r="D5" s="30">
        <f>IF(ISERROR(SUM(LB_lb_gas_kWh,LB_rest_gas_kWh,onbekend_gas_kWh)/1000),0,SUM(LB_lb_gas_kWh,LB_rest_gas_kWh,onbekend_gas_kWh)/1000)*0.902</f>
        <v>9468.7134613896014</v>
      </c>
      <c r="E5" s="17">
        <f>B17*'E Balans VL '!I25/3.6*1000000/100</f>
        <v>36.994511021675194</v>
      </c>
      <c r="F5" s="17">
        <f>B17*('E Balans VL '!L25/3.6*1000000+'E Balans VL '!N25/3.6*1000000)/100</f>
        <v>5243.975090465532</v>
      </c>
      <c r="G5" s="18"/>
      <c r="H5" s="17"/>
      <c r="I5" s="17"/>
      <c r="J5" s="17">
        <f>('E Balans VL '!D25+'E Balans VL '!E25)/3.6*1000000*landbouw!B17/100</f>
        <v>206.53903454589761</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1434.6653547799999</v>
      </c>
      <c r="C8" s="21">
        <f>C5+C6</f>
        <v>0</v>
      </c>
      <c r="D8" s="21">
        <f>MAX((D5+D6),0)</f>
        <v>9468.7134613896014</v>
      </c>
      <c r="E8" s="21">
        <f>MAX((E5+E6),0)</f>
        <v>36.994511021675194</v>
      </c>
      <c r="F8" s="21">
        <f>MAX((F5+F6),0)</f>
        <v>5243.975090465532</v>
      </c>
      <c r="G8" s="21"/>
      <c r="H8" s="21"/>
      <c r="I8" s="21"/>
      <c r="J8" s="21">
        <f>MAX((J5+J6),0)</f>
        <v>206.53903454589761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0.21037913829974941</v>
      </c>
      <c r="C10" s="31">
        <f ca="1">'EF ele_warmte'!B22</f>
        <v>0.23482101686688509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301.82366108712068</v>
      </c>
      <c r="C12" s="23">
        <f ca="1">C8*C10</f>
        <v>0</v>
      </c>
      <c r="D12" s="23">
        <f>D8*D10</f>
        <v>1912.6801192006997</v>
      </c>
      <c r="E12" s="23">
        <f>E8*E10</f>
        <v>8.3977540019202692</v>
      </c>
      <c r="F12" s="23">
        <f>F8*F10</f>
        <v>1400.1413491542971</v>
      </c>
      <c r="G12" s="23"/>
      <c r="H12" s="23"/>
      <c r="I12" s="23"/>
      <c r="J12" s="23">
        <f>J8*J10</f>
        <v>73.114818229247746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0.20229731803420525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260.72381454299563</v>
      </c>
      <c r="C26" s="247">
        <f>B26*'GWP N2O_CH4'!B5</f>
        <v>5475.2001054029079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87.854401386246465</v>
      </c>
      <c r="C27" s="247">
        <f>B27*'GWP N2O_CH4'!B5</f>
        <v>1844.9424291111757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6.2089206470207454</v>
      </c>
      <c r="C28" s="247">
        <f>B28*'GWP N2O_CH4'!B4</f>
        <v>1924.7654005764311</v>
      </c>
      <c r="D28" s="50"/>
    </row>
    <row r="29" spans="1:4">
      <c r="A29" s="41" t="s">
        <v>277</v>
      </c>
      <c r="B29" s="247">
        <f>B34*'ha_N2O bodem landbouw'!B4</f>
        <v>14.714920255307549</v>
      </c>
      <c r="C29" s="247">
        <f>B29*'GWP N2O_CH4'!B4</f>
        <v>4561.6252791453398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3.3116566894716838E-3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2.0784303106053344E-4</v>
      </c>
      <c r="C5" s="463" t="s">
        <v>211</v>
      </c>
      <c r="D5" s="448">
        <f>SUM(D6:D11)</f>
        <v>4.5640306906323129E-4</v>
      </c>
      <c r="E5" s="448">
        <f>SUM(E6:E11)</f>
        <v>1.8759393321555473E-3</v>
      </c>
      <c r="F5" s="461" t="s">
        <v>211</v>
      </c>
      <c r="G5" s="448">
        <f>SUM(G6:G11)</f>
        <v>0.73019550656036247</v>
      </c>
      <c r="H5" s="448">
        <f>SUM(H6:H11)</f>
        <v>0.1241774038707925</v>
      </c>
      <c r="I5" s="463" t="s">
        <v>211</v>
      </c>
      <c r="J5" s="463" t="s">
        <v>211</v>
      </c>
      <c r="K5" s="463" t="s">
        <v>211</v>
      </c>
      <c r="L5" s="463" t="s">
        <v>211</v>
      </c>
      <c r="M5" s="448">
        <f>SUM(M6:M11)</f>
        <v>2.6724749129383947E-2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1.3006025270984376E-4</v>
      </c>
      <c r="C6" s="449"/>
      <c r="D6" s="962">
        <f>vkm_2011_GW_PW*SUMIFS(TableVerdeelsleutelVkm[CNG],TableVerdeelsleutelVkm[Voertuigtype],"Lichte voertuigen")*SUMIFS(TableECFTransport[EnergieConsumptieFactor (PJ per km)],TableECFTransport[Index],CONCATENATE($A6,"_CNG_CNG"))</f>
        <v>2.5843200033935816E-4</v>
      </c>
      <c r="E6" s="962">
        <f>vkm_2011_GW_PW*SUMIFS(TableVerdeelsleutelVkm[LPG],TableVerdeelsleutelVkm[Voertuigtype],"Lichte voertuigen")*SUMIFS(TableECFTransport[EnergieConsumptieFactor (PJ per km)],TableECFTransport[Index],CONCATENATE($A6,"_LPG_LPG"))</f>
        <v>1.0170225622627182E-3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0.24181306922711363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6.9965317246711012E-2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9.7153024228958697E-3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0.13932520506796661</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4.5007992305184194E-5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4.3899240335299834E-3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2.5153539328141725E-5</v>
      </c>
      <c r="C8" s="449"/>
      <c r="D8" s="451">
        <f>vkm_2011_NGW_PW*SUMIFS(TableVerdeelsleutelVkm[CNG],TableVerdeelsleutelVkm[Voertuigtype],"Lichte voertuigen")*SUMIFS(TableECFTransport[EnergieConsumptieFactor (PJ per km)],TableECFTransport[Index],CONCATENATE($A8,"_CNG_CNG"))</f>
        <v>8.8497274261619874E-5</v>
      </c>
      <c r="E8" s="451">
        <f>vkm_2011_NGW_PW*SUMIFS(TableVerdeelsleutelVkm[LPG],TableVerdeelsleutelVkm[Voertuigtype],"Lichte voertuigen")*SUMIFS(TableECFTransport[EnergieConsumptieFactor (PJ per km)],TableECFTransport[Index],CONCATENATE($A8,"_LPG_LPG"))</f>
        <v>3.2208683397873353E-4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7.1512331333824689E-2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2.3231830388562618E-2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2.9493487842936149E-3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6.732501585024247E-3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2.05683631981513E-6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2.1212728302644616E-4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5.2629239022547964E-5</v>
      </c>
      <c r="C10" s="449"/>
      <c r="D10" s="451">
        <f>vkm_2011_SW_PW*SUMIFS(TableVerdeelsleutelVkm[CNG],TableVerdeelsleutelVkm[Voertuigtype],"Lichte voertuigen")*SUMIFS(TableECFTransport[EnergieConsumptieFactor (PJ per km)],TableECFTransport[Index],CONCATENATE($A10,"_CNG_CNG"))</f>
        <v>1.0947379446225327E-4</v>
      </c>
      <c r="E10" s="451">
        <f>vkm_2011_SW_PW*SUMIFS(TableVerdeelsleutelVkm[LPG],TableVerdeelsleutelVkm[Voertuigtype],"Lichte voertuigen")*SUMIFS(TableECFTransport[EnergieConsumptieFactor (PJ per km)],TableECFTransport[Index],CONCATENATE($A10,"_LPG_LPG"))</f>
        <v>5.3682993591409552E-4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0.11433861267036538</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3.0878729376983351E-2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4.5276796013895863E-3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0.15647378667606798</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5.4462029910507632E-5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4.9303670042484459E-3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57.734175294592625</v>
      </c>
      <c r="C14" s="21"/>
      <c r="D14" s="21">
        <f t="shared" ref="D14:M14" si="0">((D5)*10^9/3600)+D12</f>
        <v>126.77863029534203</v>
      </c>
      <c r="E14" s="21">
        <f t="shared" si="0"/>
        <v>521.09425893209652</v>
      </c>
      <c r="F14" s="21"/>
      <c r="G14" s="21">
        <f t="shared" si="0"/>
        <v>202832.08515565624</v>
      </c>
      <c r="H14" s="21">
        <f t="shared" si="0"/>
        <v>34493.72329744236</v>
      </c>
      <c r="I14" s="21"/>
      <c r="J14" s="21"/>
      <c r="K14" s="21"/>
      <c r="L14" s="21"/>
      <c r="M14" s="21">
        <f t="shared" si="0"/>
        <v>7423.5414248288744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0.21037913829974941</v>
      </c>
      <c r="C16" s="56">
        <f ca="1">'EF ele_warmte'!B22</f>
        <v>0.23482101686688509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12.146066048923078</v>
      </c>
      <c r="C18" s="23"/>
      <c r="D18" s="23">
        <f t="shared" ref="D18:M18" si="1">D14*D16</f>
        <v>25.609283319659092</v>
      </c>
      <c r="E18" s="23">
        <f t="shared" si="1"/>
        <v>118.28839677758592</v>
      </c>
      <c r="F18" s="23"/>
      <c r="G18" s="23">
        <f t="shared" si="1"/>
        <v>54156.166736560219</v>
      </c>
      <c r="H18" s="23">
        <f t="shared" si="1"/>
        <v>8588.9371010631476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1.8505097366402257E-2</v>
      </c>
      <c r="H50" s="321">
        <f t="shared" si="2"/>
        <v>0</v>
      </c>
      <c r="I50" s="321">
        <f t="shared" si="2"/>
        <v>0</v>
      </c>
      <c r="J50" s="321">
        <f t="shared" si="2"/>
        <v>0</v>
      </c>
      <c r="K50" s="321">
        <f t="shared" si="2"/>
        <v>0</v>
      </c>
      <c r="L50" s="321">
        <f t="shared" si="2"/>
        <v>0</v>
      </c>
      <c r="M50" s="321">
        <f t="shared" si="2"/>
        <v>5.7398672103343084E-4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1.8505097366402257E-2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5.7398672103343084E-4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5140.3048240006274</v>
      </c>
      <c r="H54" s="21">
        <f t="shared" si="3"/>
        <v>0</v>
      </c>
      <c r="I54" s="21">
        <f t="shared" si="3"/>
        <v>0</v>
      </c>
      <c r="J54" s="21">
        <f t="shared" si="3"/>
        <v>0</v>
      </c>
      <c r="K54" s="21">
        <f t="shared" si="3"/>
        <v>0</v>
      </c>
      <c r="L54" s="21">
        <f t="shared" si="3"/>
        <v>0</v>
      </c>
      <c r="M54" s="21">
        <f t="shared" si="3"/>
        <v>159.44075584261969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0.21037913829974941</v>
      </c>
      <c r="C56" s="56">
        <f ca="1">'EF ele_warmte'!B22</f>
        <v>0.23482101686688509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1372.4613880081677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15159.723093866745</v>
      </c>
      <c r="C6" s="1203"/>
      <c r="D6" s="1188"/>
      <c r="E6" s="1188"/>
      <c r="F6" s="1206"/>
      <c r="G6" s="1209"/>
      <c r="H6" s="1200"/>
      <c r="I6" s="1188"/>
      <c r="J6" s="1188"/>
      <c r="K6" s="1188"/>
      <c r="L6" s="1192"/>
      <c r="M6" s="575"/>
      <c r="N6" s="1166"/>
      <c r="O6" s="1167"/>
      <c r="Q6" s="573"/>
      <c r="R6" s="1154"/>
      <c r="S6" s="1154"/>
    </row>
    <row r="7" spans="1:19" s="563" customFormat="1">
      <c r="A7" s="576" t="s">
        <v>252</v>
      </c>
      <c r="B7" s="577">
        <f>N57</f>
        <v>3172.5</v>
      </c>
      <c r="C7" s="578">
        <f>B100</f>
        <v>3687.9686931197666</v>
      </c>
      <c r="D7" s="579"/>
      <c r="E7" s="579">
        <f>E100</f>
        <v>0</v>
      </c>
      <c r="F7" s="580"/>
      <c r="G7" s="581"/>
      <c r="H7" s="579">
        <f>I100</f>
        <v>0</v>
      </c>
      <c r="I7" s="579">
        <f>G100+F100</f>
        <v>0</v>
      </c>
      <c r="J7" s="579">
        <f>H100+D100+C100</f>
        <v>0</v>
      </c>
      <c r="K7" s="579"/>
      <c r="L7" s="582"/>
      <c r="M7" s="583">
        <f>C7*$C$11+D7*$D$11+E7*$E$11+F7*$F$11+G7*$G$11+H7*$H$11+I7*$I$11+J7*$J$11</f>
        <v>744.96967601019287</v>
      </c>
      <c r="N7" s="1166"/>
      <c r="O7" s="1167"/>
      <c r="Q7" s="573"/>
      <c r="R7" s="1154"/>
      <c r="S7" s="1154"/>
    </row>
    <row r="8" spans="1:19" s="563" customFormat="1" ht="17.45" customHeight="1" thickBot="1">
      <c r="A8" s="584" t="s">
        <v>248</v>
      </c>
      <c r="B8" s="585">
        <f>N88+'Eigen informatie GS &amp; warmtenet'!B12</f>
        <v>1341</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19673.223093866745</v>
      </c>
      <c r="C9" s="594">
        <f t="shared" ref="C9:L9" si="0">SUM(C7:C8)</f>
        <v>3687.9686931197666</v>
      </c>
      <c r="D9" s="594">
        <f t="shared" si="0"/>
        <v>0</v>
      </c>
      <c r="E9" s="594">
        <f t="shared" si="0"/>
        <v>0</v>
      </c>
      <c r="F9" s="594">
        <f t="shared" si="0"/>
        <v>0</v>
      </c>
      <c r="G9" s="594">
        <f t="shared" si="0"/>
        <v>0</v>
      </c>
      <c r="H9" s="594">
        <f t="shared" si="0"/>
        <v>0</v>
      </c>
      <c r="I9" s="594">
        <f t="shared" si="0"/>
        <v>0</v>
      </c>
      <c r="J9" s="594">
        <f t="shared" si="0"/>
        <v>3831.4285714285716</v>
      </c>
      <c r="K9" s="594">
        <f t="shared" si="0"/>
        <v>0</v>
      </c>
      <c r="L9" s="594">
        <f t="shared" si="0"/>
        <v>0</v>
      </c>
      <c r="M9" s="595">
        <f>SUM(M4:M8)</f>
        <v>744.96967601019287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5657.1428571428578</v>
      </c>
      <c r="C16" s="610">
        <f>B101</f>
        <v>6576.3170211659472</v>
      </c>
      <c r="D16" s="611"/>
      <c r="E16" s="611">
        <f>E101</f>
        <v>0</v>
      </c>
      <c r="F16" s="612"/>
      <c r="G16" s="613"/>
      <c r="H16" s="610">
        <f>I101</f>
        <v>0</v>
      </c>
      <c r="I16" s="611">
        <f>G101+F101</f>
        <v>0</v>
      </c>
      <c r="J16" s="611">
        <f>H101+D101+C101</f>
        <v>0</v>
      </c>
      <c r="K16" s="611"/>
      <c r="L16" s="614"/>
      <c r="M16" s="615">
        <f>C16*$C$21+E16*$E$21+H16*$H$21+I16*$I$21+J16*$J$21+D16*$D$21+F16*$F$21+G16*$G$21+K16*$K$21+L16*$L$21</f>
        <v>1328.4160382755215</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5657.1428571428578</v>
      </c>
      <c r="C19" s="593">
        <f>SUM(C16:C18)</f>
        <v>6576.3170211659472</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1328.4160382755215</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13040</v>
      </c>
      <c r="C27" s="851">
        <v>2300</v>
      </c>
      <c r="D27" s="672" t="s">
        <v>818</v>
      </c>
      <c r="E27" s="671" t="s">
        <v>819</v>
      </c>
      <c r="F27" s="671" t="s">
        <v>820</v>
      </c>
      <c r="G27" s="671" t="s">
        <v>821</v>
      </c>
      <c r="H27" s="671" t="s">
        <v>821</v>
      </c>
      <c r="I27" s="671" t="s">
        <v>819</v>
      </c>
      <c r="J27" s="850">
        <v>41001</v>
      </c>
      <c r="K27" s="850">
        <v>41153</v>
      </c>
      <c r="L27" s="671" t="s">
        <v>822</v>
      </c>
      <c r="M27" s="671">
        <v>70</v>
      </c>
      <c r="N27" s="671">
        <v>315.00000000000006</v>
      </c>
      <c r="O27" s="671">
        <v>1575.0000000000002</v>
      </c>
      <c r="P27" s="671">
        <v>2100.0000000000005</v>
      </c>
      <c r="Q27" s="671">
        <v>0</v>
      </c>
      <c r="R27" s="671">
        <v>0</v>
      </c>
      <c r="S27" s="671">
        <v>0</v>
      </c>
      <c r="T27" s="671">
        <v>0</v>
      </c>
      <c r="U27" s="671">
        <v>0</v>
      </c>
      <c r="V27" s="671">
        <v>0</v>
      </c>
      <c r="W27" s="671">
        <v>0</v>
      </c>
      <c r="X27" s="671">
        <v>1500</v>
      </c>
      <c r="Y27" s="671" t="s">
        <v>51</v>
      </c>
      <c r="Z27" s="673" t="s">
        <v>156</v>
      </c>
    </row>
    <row r="28" spans="1:26" s="625" customFormat="1" ht="25.5">
      <c r="A28" s="624"/>
      <c r="B28" s="851">
        <v>13040</v>
      </c>
      <c r="C28" s="851">
        <v>2300</v>
      </c>
      <c r="D28" s="672" t="s">
        <v>823</v>
      </c>
      <c r="E28" s="671" t="s">
        <v>824</v>
      </c>
      <c r="F28" s="671" t="s">
        <v>825</v>
      </c>
      <c r="G28" s="671" t="s">
        <v>826</v>
      </c>
      <c r="H28" s="671" t="s">
        <v>827</v>
      </c>
      <c r="I28" s="671" t="s">
        <v>824</v>
      </c>
      <c r="J28" s="850">
        <v>41324</v>
      </c>
      <c r="K28" s="850">
        <v>41324</v>
      </c>
      <c r="L28" s="671" t="s">
        <v>822</v>
      </c>
      <c r="M28" s="671">
        <v>635</v>
      </c>
      <c r="N28" s="671">
        <v>2857.5</v>
      </c>
      <c r="O28" s="671">
        <v>4082.1428571428573</v>
      </c>
      <c r="P28" s="671">
        <v>8164.2857142857147</v>
      </c>
      <c r="Q28" s="671">
        <v>0</v>
      </c>
      <c r="R28" s="671">
        <v>0</v>
      </c>
      <c r="S28" s="671">
        <v>0</v>
      </c>
      <c r="T28" s="671">
        <v>0</v>
      </c>
      <c r="U28" s="671">
        <v>0</v>
      </c>
      <c r="V28" s="671">
        <v>0</v>
      </c>
      <c r="W28" s="671">
        <v>0</v>
      </c>
      <c r="X28" s="671">
        <v>300</v>
      </c>
      <c r="Y28" s="671" t="s">
        <v>828</v>
      </c>
      <c r="Z28" s="673" t="s">
        <v>389</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705</v>
      </c>
      <c r="N57" s="629">
        <f>SUM(N27:N56)</f>
        <v>3172.5</v>
      </c>
      <c r="O57" s="629">
        <f t="shared" ref="O57:W57" si="2">SUM(O27:O56)</f>
        <v>5657.1428571428578</v>
      </c>
      <c r="P57" s="629">
        <f t="shared" si="2"/>
        <v>10264.285714285716</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635</v>
      </c>
      <c r="N58" s="629">
        <f t="shared" ref="N58:W58" si="3">SUMIF($Z$27:$Z$56,"industrie",N27:N56)</f>
        <v>2857.5</v>
      </c>
      <c r="O58" s="629">
        <f t="shared" si="3"/>
        <v>4082.1428571428573</v>
      </c>
      <c r="P58" s="629">
        <f t="shared" si="3"/>
        <v>8164.2857142857147</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70</v>
      </c>
      <c r="N59" s="629">
        <f ca="1">SUMIF($Z$27:AB56,"tertiair",N27:N56)</f>
        <v>315.00000000000006</v>
      </c>
      <c r="O59" s="629">
        <f ca="1">SUMIF($Z$27:AC56,"tertiair",O27:O56)</f>
        <v>1575.0000000000002</v>
      </c>
      <c r="P59" s="629">
        <f ca="1">SUMIF($Z$27:AD56,"tertiair",P27:P56)</f>
        <v>2100.0000000000005</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13040</v>
      </c>
      <c r="C63" s="851">
        <v>2300</v>
      </c>
      <c r="D63" s="674" t="s">
        <v>829</v>
      </c>
      <c r="E63" s="674" t="s">
        <v>830</v>
      </c>
      <c r="F63" s="674" t="s">
        <v>831</v>
      </c>
      <c r="G63" s="674" t="s">
        <v>832</v>
      </c>
      <c r="H63" s="674" t="s">
        <v>833</v>
      </c>
      <c r="I63" s="674" t="s">
        <v>834</v>
      </c>
      <c r="J63" s="850">
        <v>38768</v>
      </c>
      <c r="K63" s="850">
        <v>39052</v>
      </c>
      <c r="L63" s="674" t="s">
        <v>835</v>
      </c>
      <c r="M63" s="674">
        <v>298</v>
      </c>
      <c r="N63" s="674">
        <v>1341</v>
      </c>
      <c r="O63" s="674">
        <v>0</v>
      </c>
      <c r="P63" s="674">
        <v>0</v>
      </c>
      <c r="Q63" s="674">
        <v>3831.4285714285716</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298</v>
      </c>
      <c r="N88" s="629">
        <f t="shared" ref="N88:W88" si="5">SUM(N63:N87)</f>
        <v>1341</v>
      </c>
      <c r="O88" s="629">
        <f t="shared" si="5"/>
        <v>0</v>
      </c>
      <c r="P88" s="629">
        <f t="shared" si="5"/>
        <v>0</v>
      </c>
      <c r="Q88" s="629">
        <f t="shared" si="5"/>
        <v>3831.4285714285716</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298</v>
      </c>
      <c r="N90" s="629">
        <f t="shared" ref="N90:W90" si="7">SUMIF($Z$63:$Z$88,"tertiair",N63:N88)</f>
        <v>1341</v>
      </c>
      <c r="O90" s="629">
        <f t="shared" si="7"/>
        <v>0</v>
      </c>
      <c r="P90" s="629">
        <f t="shared" si="7"/>
        <v>0</v>
      </c>
      <c r="Q90" s="629">
        <f t="shared" si="7"/>
        <v>3831.4285714285716</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0.64069894430287577</v>
      </c>
      <c r="C97" s="654">
        <f>IF(ISERROR(N57/(O57+N57)),0,N57/(N57+O57))</f>
        <v>0.35930105569712406</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3687.9686931197666</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6576.3170211659472</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90851.100451100006</v>
      </c>
      <c r="D10" s="718">
        <f ca="1">tertiair!C16</f>
        <v>1575.0000000000002</v>
      </c>
      <c r="E10" s="718">
        <f ca="1">tertiair!D16</f>
        <v>116060.6653801442</v>
      </c>
      <c r="F10" s="718">
        <f>tertiair!E16</f>
        <v>1646.482710597872</v>
      </c>
      <c r="G10" s="718">
        <f ca="1">tertiair!F16</f>
        <v>21444.225247264807</v>
      </c>
      <c r="H10" s="718">
        <f>tertiair!G16</f>
        <v>0</v>
      </c>
      <c r="I10" s="718">
        <f>tertiair!H16</f>
        <v>0</v>
      </c>
      <c r="J10" s="718">
        <f>tertiair!I16</f>
        <v>0</v>
      </c>
      <c r="K10" s="718">
        <f>tertiair!J16</f>
        <v>0</v>
      </c>
      <c r="L10" s="718">
        <f>tertiair!K16</f>
        <v>0</v>
      </c>
      <c r="M10" s="718">
        <f ca="1">tertiair!L16</f>
        <v>0</v>
      </c>
      <c r="N10" s="718">
        <f>tertiair!M16</f>
        <v>0</v>
      </c>
      <c r="O10" s="718">
        <f ca="1">tertiair!N16</f>
        <v>145.88839266505238</v>
      </c>
      <c r="P10" s="718">
        <f>tertiair!O16</f>
        <v>6.2533333333333339</v>
      </c>
      <c r="Q10" s="719">
        <f>tertiair!P16</f>
        <v>152.53333333333333</v>
      </c>
      <c r="R10" s="721">
        <f ca="1">SUM(C10:Q10)</f>
        <v>231882.14884843858</v>
      </c>
      <c r="S10" s="67"/>
    </row>
    <row r="11" spans="1:19" s="474" customFormat="1">
      <c r="A11" s="870" t="s">
        <v>225</v>
      </c>
      <c r="B11" s="875"/>
      <c r="C11" s="718">
        <f>huishoudens!B8</f>
        <v>59329.272154382707</v>
      </c>
      <c r="D11" s="718">
        <f>huishoudens!C8</f>
        <v>0</v>
      </c>
      <c r="E11" s="718">
        <f>huishoudens!D8</f>
        <v>220001.3404402</v>
      </c>
      <c r="F11" s="718">
        <f>huishoudens!E8</f>
        <v>4423.1652204440898</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25522.958180791102</v>
      </c>
      <c r="P11" s="718">
        <f>huishoudens!O8</f>
        <v>358.00333333333339</v>
      </c>
      <c r="Q11" s="719">
        <f>huishoudens!P8</f>
        <v>838.93333333333339</v>
      </c>
      <c r="R11" s="721">
        <f>SUM(C11:Q11)</f>
        <v>310473.67266248463</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187547.59711653</v>
      </c>
      <c r="D13" s="718">
        <f>industrie!C18</f>
        <v>4082.1428571428573</v>
      </c>
      <c r="E13" s="718">
        <f>industrie!D18</f>
        <v>147553.10094733463</v>
      </c>
      <c r="F13" s="718">
        <f>industrie!E18</f>
        <v>9523.9954336567134</v>
      </c>
      <c r="G13" s="718">
        <f>industrie!F18</f>
        <v>39213.956526337817</v>
      </c>
      <c r="H13" s="718">
        <f>industrie!G18</f>
        <v>0</v>
      </c>
      <c r="I13" s="718">
        <f>industrie!H18</f>
        <v>0</v>
      </c>
      <c r="J13" s="718">
        <f>industrie!I18</f>
        <v>0</v>
      </c>
      <c r="K13" s="718">
        <f>industrie!J18</f>
        <v>2666.3709953868802</v>
      </c>
      <c r="L13" s="718">
        <f>industrie!K18</f>
        <v>0</v>
      </c>
      <c r="M13" s="718">
        <f>industrie!L18</f>
        <v>0</v>
      </c>
      <c r="N13" s="718">
        <f>industrie!M18</f>
        <v>0</v>
      </c>
      <c r="O13" s="718">
        <f>industrie!N18</f>
        <v>81966.525167333428</v>
      </c>
      <c r="P13" s="718">
        <f>industrie!O18</f>
        <v>0</v>
      </c>
      <c r="Q13" s="719">
        <f>industrie!P18</f>
        <v>0</v>
      </c>
      <c r="R13" s="721">
        <f>SUM(C13:Q13)</f>
        <v>472553.68904372235</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337727.9697220127</v>
      </c>
      <c r="D15" s="723">
        <f t="shared" ref="D15:Q15" ca="1" si="0">SUM(D9:D14)</f>
        <v>5657.1428571428578</v>
      </c>
      <c r="E15" s="723">
        <f t="shared" ca="1" si="0"/>
        <v>483615.10676767887</v>
      </c>
      <c r="F15" s="723">
        <f t="shared" si="0"/>
        <v>15593.643364698675</v>
      </c>
      <c r="G15" s="723">
        <f t="shared" ca="1" si="0"/>
        <v>60658.181773602628</v>
      </c>
      <c r="H15" s="723">
        <f t="shared" si="0"/>
        <v>0</v>
      </c>
      <c r="I15" s="723">
        <f t="shared" si="0"/>
        <v>0</v>
      </c>
      <c r="J15" s="723">
        <f t="shared" si="0"/>
        <v>0</v>
      </c>
      <c r="K15" s="723">
        <f t="shared" si="0"/>
        <v>2666.3709953868802</v>
      </c>
      <c r="L15" s="723">
        <f t="shared" si="0"/>
        <v>0</v>
      </c>
      <c r="M15" s="723">
        <f t="shared" ca="1" si="0"/>
        <v>0</v>
      </c>
      <c r="N15" s="723">
        <f t="shared" si="0"/>
        <v>0</v>
      </c>
      <c r="O15" s="723">
        <f t="shared" ca="1" si="0"/>
        <v>107635.37174078959</v>
      </c>
      <c r="P15" s="723">
        <f t="shared" si="0"/>
        <v>364.25666666666672</v>
      </c>
      <c r="Q15" s="724">
        <f t="shared" si="0"/>
        <v>991.4666666666667</v>
      </c>
      <c r="R15" s="725">
        <f ca="1">SUM(R9:R14)</f>
        <v>1014909.5105546456</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5140.3048240006274</v>
      </c>
      <c r="I18" s="718">
        <f>transport!H54</f>
        <v>0</v>
      </c>
      <c r="J18" s="718">
        <f>transport!I54</f>
        <v>0</v>
      </c>
      <c r="K18" s="718">
        <f>transport!J54</f>
        <v>0</v>
      </c>
      <c r="L18" s="718">
        <f>transport!K54</f>
        <v>0</v>
      </c>
      <c r="M18" s="718">
        <f>transport!L54</f>
        <v>0</v>
      </c>
      <c r="N18" s="718">
        <f>transport!M54</f>
        <v>159.44075584261969</v>
      </c>
      <c r="O18" s="718">
        <f>transport!N54</f>
        <v>0</v>
      </c>
      <c r="P18" s="718">
        <f>transport!O54</f>
        <v>0</v>
      </c>
      <c r="Q18" s="719">
        <f>transport!P54</f>
        <v>0</v>
      </c>
      <c r="R18" s="721">
        <f>SUM(C18:Q18)</f>
        <v>5299.7455798432475</v>
      </c>
      <c r="S18" s="67"/>
    </row>
    <row r="19" spans="1:19" s="474" customFormat="1" ht="15" thickBot="1">
      <c r="A19" s="870" t="s">
        <v>307</v>
      </c>
      <c r="B19" s="875"/>
      <c r="C19" s="727">
        <f>transport!B14</f>
        <v>57.734175294592625</v>
      </c>
      <c r="D19" s="727">
        <f>transport!C14</f>
        <v>0</v>
      </c>
      <c r="E19" s="727">
        <f>transport!D14</f>
        <v>126.77863029534203</v>
      </c>
      <c r="F19" s="727">
        <f>transport!E14</f>
        <v>521.09425893209652</v>
      </c>
      <c r="G19" s="727">
        <f>transport!F14</f>
        <v>0</v>
      </c>
      <c r="H19" s="727">
        <f>transport!G14</f>
        <v>202832.08515565624</v>
      </c>
      <c r="I19" s="727">
        <f>transport!H14</f>
        <v>34493.72329744236</v>
      </c>
      <c r="J19" s="727">
        <f>transport!I14</f>
        <v>0</v>
      </c>
      <c r="K19" s="727">
        <f>transport!J14</f>
        <v>0</v>
      </c>
      <c r="L19" s="727">
        <f>transport!K14</f>
        <v>0</v>
      </c>
      <c r="M19" s="727">
        <f>transport!L14</f>
        <v>0</v>
      </c>
      <c r="N19" s="727">
        <f>transport!M14</f>
        <v>7423.5414248288744</v>
      </c>
      <c r="O19" s="727">
        <f>transport!N14</f>
        <v>0</v>
      </c>
      <c r="P19" s="727">
        <f>transport!O14</f>
        <v>0</v>
      </c>
      <c r="Q19" s="728">
        <f>transport!P14</f>
        <v>0</v>
      </c>
      <c r="R19" s="729">
        <f>SUM(C19:Q19)</f>
        <v>245454.9569424495</v>
      </c>
      <c r="S19" s="67"/>
    </row>
    <row r="20" spans="1:19" s="474" customFormat="1" ht="15.75" thickBot="1">
      <c r="A20" s="730" t="s">
        <v>230</v>
      </c>
      <c r="B20" s="878"/>
      <c r="C20" s="873">
        <f>SUM(C17:C19)</f>
        <v>57.734175294592625</v>
      </c>
      <c r="D20" s="731">
        <f t="shared" ref="D20:R20" si="1">SUM(D17:D19)</f>
        <v>0</v>
      </c>
      <c r="E20" s="731">
        <f t="shared" si="1"/>
        <v>126.77863029534203</v>
      </c>
      <c r="F20" s="731">
        <f t="shared" si="1"/>
        <v>521.09425893209652</v>
      </c>
      <c r="G20" s="731">
        <f t="shared" si="1"/>
        <v>0</v>
      </c>
      <c r="H20" s="731">
        <f t="shared" si="1"/>
        <v>207972.38997965687</v>
      </c>
      <c r="I20" s="731">
        <f t="shared" si="1"/>
        <v>34493.72329744236</v>
      </c>
      <c r="J20" s="731">
        <f t="shared" si="1"/>
        <v>0</v>
      </c>
      <c r="K20" s="731">
        <f t="shared" si="1"/>
        <v>0</v>
      </c>
      <c r="L20" s="731">
        <f t="shared" si="1"/>
        <v>0</v>
      </c>
      <c r="M20" s="731">
        <f t="shared" si="1"/>
        <v>0</v>
      </c>
      <c r="N20" s="731">
        <f t="shared" si="1"/>
        <v>7582.9821806714945</v>
      </c>
      <c r="O20" s="731">
        <f t="shared" si="1"/>
        <v>0</v>
      </c>
      <c r="P20" s="731">
        <f t="shared" si="1"/>
        <v>0</v>
      </c>
      <c r="Q20" s="732">
        <f t="shared" si="1"/>
        <v>0</v>
      </c>
      <c r="R20" s="733">
        <f t="shared" si="1"/>
        <v>250754.70252229273</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1434.6653547799999</v>
      </c>
      <c r="D22" s="727">
        <f>+landbouw!C8</f>
        <v>0</v>
      </c>
      <c r="E22" s="727">
        <f>+landbouw!D8</f>
        <v>9468.7134613896014</v>
      </c>
      <c r="F22" s="727">
        <f>+landbouw!E8</f>
        <v>36.994511021675194</v>
      </c>
      <c r="G22" s="727">
        <f>+landbouw!F8</f>
        <v>5243.975090465532</v>
      </c>
      <c r="H22" s="727">
        <f>+landbouw!G8</f>
        <v>0</v>
      </c>
      <c r="I22" s="727">
        <f>+landbouw!H8</f>
        <v>0</v>
      </c>
      <c r="J22" s="727">
        <f>+landbouw!I8</f>
        <v>0</v>
      </c>
      <c r="K22" s="727">
        <f>+landbouw!J8</f>
        <v>206.53903454589761</v>
      </c>
      <c r="L22" s="727">
        <f>+landbouw!K8</f>
        <v>0</v>
      </c>
      <c r="M22" s="727">
        <f>+landbouw!L8</f>
        <v>0</v>
      </c>
      <c r="N22" s="727">
        <f>+landbouw!M8</f>
        <v>0</v>
      </c>
      <c r="O22" s="727">
        <f>+landbouw!N8</f>
        <v>0</v>
      </c>
      <c r="P22" s="727">
        <f>+landbouw!O8</f>
        <v>0</v>
      </c>
      <c r="Q22" s="728">
        <f>+landbouw!P8</f>
        <v>0</v>
      </c>
      <c r="R22" s="729">
        <f>SUM(C22:Q22)</f>
        <v>16390.887452202707</v>
      </c>
      <c r="S22" s="67"/>
    </row>
    <row r="23" spans="1:19" s="474" customFormat="1" ht="17.25" thickTop="1" thickBot="1">
      <c r="A23" s="734" t="s">
        <v>116</v>
      </c>
      <c r="B23" s="864"/>
      <c r="C23" s="735">
        <f ca="1">C20+C15+C22</f>
        <v>339220.36925208726</v>
      </c>
      <c r="D23" s="735">
        <f t="shared" ref="D23:Q23" ca="1" si="2">D20+D15+D22</f>
        <v>5657.1428571428578</v>
      </c>
      <c r="E23" s="735">
        <f t="shared" ca="1" si="2"/>
        <v>493210.59885936382</v>
      </c>
      <c r="F23" s="735">
        <f t="shared" si="2"/>
        <v>16151.732134652448</v>
      </c>
      <c r="G23" s="735">
        <f t="shared" ca="1" si="2"/>
        <v>65902.156864068165</v>
      </c>
      <c r="H23" s="735">
        <f t="shared" si="2"/>
        <v>207972.38997965687</v>
      </c>
      <c r="I23" s="735">
        <f t="shared" si="2"/>
        <v>34493.72329744236</v>
      </c>
      <c r="J23" s="735">
        <f t="shared" si="2"/>
        <v>0</v>
      </c>
      <c r="K23" s="735">
        <f t="shared" si="2"/>
        <v>2872.9100299327779</v>
      </c>
      <c r="L23" s="735">
        <f t="shared" si="2"/>
        <v>0</v>
      </c>
      <c r="M23" s="735">
        <f t="shared" ca="1" si="2"/>
        <v>0</v>
      </c>
      <c r="N23" s="735">
        <f t="shared" si="2"/>
        <v>7582.9821806714945</v>
      </c>
      <c r="O23" s="735">
        <f t="shared" ca="1" si="2"/>
        <v>107635.37174078959</v>
      </c>
      <c r="P23" s="735">
        <f t="shared" si="2"/>
        <v>364.25666666666672</v>
      </c>
      <c r="Q23" s="736">
        <f t="shared" si="2"/>
        <v>991.4666666666667</v>
      </c>
      <c r="R23" s="737">
        <f ca="1">R20+R15+R22</f>
        <v>1282055.100529141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19113.176226486394</v>
      </c>
      <c r="D36" s="718">
        <f ca="1">tertiair!C20</f>
        <v>369.84310156534406</v>
      </c>
      <c r="E36" s="718">
        <f ca="1">tertiair!D20</f>
        <v>23444.254406789129</v>
      </c>
      <c r="F36" s="718">
        <f>tertiair!E20</f>
        <v>373.75157530571698</v>
      </c>
      <c r="G36" s="718">
        <f ca="1">tertiair!F20</f>
        <v>5725.6081410197039</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49026.633451166286</v>
      </c>
    </row>
    <row r="37" spans="1:18">
      <c r="A37" s="885" t="s">
        <v>225</v>
      </c>
      <c r="B37" s="892"/>
      <c r="C37" s="718">
        <f ca="1">huishoudens!B12</f>
        <v>12481.641151790351</v>
      </c>
      <c r="D37" s="718">
        <f ca="1">huishoudens!C12</f>
        <v>0</v>
      </c>
      <c r="E37" s="718">
        <f>huishoudens!D12</f>
        <v>44440.270768920403</v>
      </c>
      <c r="F37" s="718">
        <f>huishoudens!E12</f>
        <v>1004.0585050408084</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57925.97042575157</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39456.101871564148</v>
      </c>
      <c r="D39" s="718">
        <f ca="1">industrie!C22</f>
        <v>958.57293671017737</v>
      </c>
      <c r="E39" s="718">
        <f>industrie!D22</f>
        <v>29805.726391361597</v>
      </c>
      <c r="F39" s="718">
        <f>industrie!E22</f>
        <v>2161.9469634400739</v>
      </c>
      <c r="G39" s="718">
        <f>industrie!F22</f>
        <v>10470.126392532198</v>
      </c>
      <c r="H39" s="718">
        <f>industrie!G22</f>
        <v>0</v>
      </c>
      <c r="I39" s="718">
        <f>industrie!H22</f>
        <v>0</v>
      </c>
      <c r="J39" s="718">
        <f>industrie!I22</f>
        <v>0</v>
      </c>
      <c r="K39" s="718">
        <f>industrie!J22</f>
        <v>943.89533236695559</v>
      </c>
      <c r="L39" s="718">
        <f>industrie!K22</f>
        <v>0</v>
      </c>
      <c r="M39" s="718">
        <f>industrie!L22</f>
        <v>0</v>
      </c>
      <c r="N39" s="718">
        <f>industrie!M22</f>
        <v>0</v>
      </c>
      <c r="O39" s="718">
        <f>industrie!N22</f>
        <v>0</v>
      </c>
      <c r="P39" s="718">
        <f>industrie!O22</f>
        <v>0</v>
      </c>
      <c r="Q39" s="828">
        <f>industrie!P22</f>
        <v>0</v>
      </c>
      <c r="R39" s="918">
        <f ca="1">SUM(C39:Q39)</f>
        <v>83796.369887975146</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71050.919249840896</v>
      </c>
      <c r="D41" s="763">
        <f t="shared" ref="D41:R41" ca="1" si="4">SUM(D35:D40)</f>
        <v>1328.4160382755215</v>
      </c>
      <c r="E41" s="763">
        <f t="shared" ca="1" si="4"/>
        <v>97690.251567071129</v>
      </c>
      <c r="F41" s="763">
        <f t="shared" si="4"/>
        <v>3539.7570437865993</v>
      </c>
      <c r="G41" s="763">
        <f t="shared" ca="1" si="4"/>
        <v>16195.734533551902</v>
      </c>
      <c r="H41" s="763">
        <f t="shared" si="4"/>
        <v>0</v>
      </c>
      <c r="I41" s="763">
        <f t="shared" si="4"/>
        <v>0</v>
      </c>
      <c r="J41" s="763">
        <f t="shared" si="4"/>
        <v>0</v>
      </c>
      <c r="K41" s="763">
        <f t="shared" si="4"/>
        <v>943.89533236695559</v>
      </c>
      <c r="L41" s="763">
        <f t="shared" si="4"/>
        <v>0</v>
      </c>
      <c r="M41" s="763">
        <f t="shared" ca="1" si="4"/>
        <v>0</v>
      </c>
      <c r="N41" s="763">
        <f t="shared" si="4"/>
        <v>0</v>
      </c>
      <c r="O41" s="763">
        <f t="shared" ca="1" si="4"/>
        <v>0</v>
      </c>
      <c r="P41" s="763">
        <f t="shared" si="4"/>
        <v>0</v>
      </c>
      <c r="Q41" s="764">
        <f t="shared" si="4"/>
        <v>0</v>
      </c>
      <c r="R41" s="765">
        <f t="shared" ca="1" si="4"/>
        <v>190748.97376489302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1372.4613880081677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1372.4613880081677</v>
      </c>
    </row>
    <row r="45" spans="1:18" ht="15" thickBot="1">
      <c r="A45" s="888" t="s">
        <v>307</v>
      </c>
      <c r="B45" s="898"/>
      <c r="C45" s="727">
        <f ca="1">transport!B18</f>
        <v>12.146066048923078</v>
      </c>
      <c r="D45" s="727">
        <f>transport!C18</f>
        <v>0</v>
      </c>
      <c r="E45" s="727">
        <f>transport!D18</f>
        <v>25.609283319659092</v>
      </c>
      <c r="F45" s="727">
        <f>transport!E18</f>
        <v>118.28839677758592</v>
      </c>
      <c r="G45" s="727">
        <f>transport!F18</f>
        <v>0</v>
      </c>
      <c r="H45" s="727">
        <f>transport!G18</f>
        <v>54156.166736560219</v>
      </c>
      <c r="I45" s="727">
        <f>transport!H18</f>
        <v>8588.9371010631476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62901.147583769533</v>
      </c>
    </row>
    <row r="46" spans="1:18" ht="15.75" thickBot="1">
      <c r="A46" s="886" t="s">
        <v>230</v>
      </c>
      <c r="B46" s="899"/>
      <c r="C46" s="763">
        <f t="shared" ref="C46:R46" ca="1" si="5">SUM(C43:C45)</f>
        <v>12.146066048923078</v>
      </c>
      <c r="D46" s="763">
        <f t="shared" ca="1" si="5"/>
        <v>0</v>
      </c>
      <c r="E46" s="763">
        <f t="shared" si="5"/>
        <v>25.609283319659092</v>
      </c>
      <c r="F46" s="763">
        <f t="shared" si="5"/>
        <v>118.28839677758592</v>
      </c>
      <c r="G46" s="763">
        <f t="shared" si="5"/>
        <v>0</v>
      </c>
      <c r="H46" s="763">
        <f t="shared" si="5"/>
        <v>55528.628124568386</v>
      </c>
      <c r="I46" s="763">
        <f t="shared" si="5"/>
        <v>8588.9371010631476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64273.608971777699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301.82366108712068</v>
      </c>
      <c r="D48" s="718">
        <f ca="1">+landbouw!C12</f>
        <v>0</v>
      </c>
      <c r="E48" s="718">
        <f>+landbouw!D12</f>
        <v>1912.6801192006997</v>
      </c>
      <c r="F48" s="718">
        <f>+landbouw!E12</f>
        <v>8.3977540019202692</v>
      </c>
      <c r="G48" s="718">
        <f>+landbouw!F12</f>
        <v>1400.1413491542971</v>
      </c>
      <c r="H48" s="718">
        <f>+landbouw!G12</f>
        <v>0</v>
      </c>
      <c r="I48" s="718">
        <f>+landbouw!H12</f>
        <v>0</v>
      </c>
      <c r="J48" s="718">
        <f>+landbouw!I12</f>
        <v>0</v>
      </c>
      <c r="K48" s="718">
        <f>+landbouw!J12</f>
        <v>73.114818229247746</v>
      </c>
      <c r="L48" s="718">
        <f>+landbouw!K12</f>
        <v>0</v>
      </c>
      <c r="M48" s="718">
        <f>+landbouw!L12</f>
        <v>0</v>
      </c>
      <c r="N48" s="718">
        <f>+landbouw!M12</f>
        <v>0</v>
      </c>
      <c r="O48" s="718">
        <f>+landbouw!N12</f>
        <v>0</v>
      </c>
      <c r="P48" s="718">
        <f>+landbouw!O12</f>
        <v>0</v>
      </c>
      <c r="Q48" s="719">
        <f>+landbouw!P12</f>
        <v>0</v>
      </c>
      <c r="R48" s="761">
        <f ca="1">SUM(C48:Q48)</f>
        <v>3696.1577016732858</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71364.888976976945</v>
      </c>
      <c r="D53" s="773">
        <f t="shared" ref="D53:Q53" ca="1" si="6">D41+D46+D48</f>
        <v>1328.4160382755215</v>
      </c>
      <c r="E53" s="773">
        <f t="shared" ca="1" si="6"/>
        <v>99628.540969591486</v>
      </c>
      <c r="F53" s="773">
        <f t="shared" si="6"/>
        <v>3666.4431945661058</v>
      </c>
      <c r="G53" s="773">
        <f t="shared" ca="1" si="6"/>
        <v>17595.875882706197</v>
      </c>
      <c r="H53" s="773">
        <f t="shared" si="6"/>
        <v>55528.628124568386</v>
      </c>
      <c r="I53" s="773">
        <f t="shared" si="6"/>
        <v>8588.9371010631476</v>
      </c>
      <c r="J53" s="773">
        <f t="shared" si="6"/>
        <v>0</v>
      </c>
      <c r="K53" s="773">
        <f t="shared" si="6"/>
        <v>1017.0101505962033</v>
      </c>
      <c r="L53" s="773">
        <f t="shared" si="6"/>
        <v>0</v>
      </c>
      <c r="M53" s="773">
        <f t="shared" ca="1" si="6"/>
        <v>0</v>
      </c>
      <c r="N53" s="773">
        <f t="shared" si="6"/>
        <v>0</v>
      </c>
      <c r="O53" s="773">
        <f t="shared" ca="1" si="6"/>
        <v>0</v>
      </c>
      <c r="P53" s="773">
        <f>P41+P46+P48</f>
        <v>0</v>
      </c>
      <c r="Q53" s="774">
        <f t="shared" si="6"/>
        <v>0</v>
      </c>
      <c r="R53" s="775">
        <f ca="1">R41+R46+R48</f>
        <v>258718.74043834399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0.21037913829974947</v>
      </c>
      <c r="D55" s="836">
        <f t="shared" ca="1" si="7"/>
        <v>0.23482101686688509</v>
      </c>
      <c r="E55" s="836">
        <f t="shared" ca="1" si="7"/>
        <v>0.20199999999999999</v>
      </c>
      <c r="F55" s="836">
        <f t="shared" si="7"/>
        <v>0.22700000000000001</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15159.723093866745</v>
      </c>
      <c r="C66" s="795">
        <f>'lokale energieproductie'!B6</f>
        <v>15159.723093866745</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3172.5</v>
      </c>
      <c r="C67" s="794">
        <f>B67*IFERROR(SUM(J67:L67)/SUM(D67:M67),0)</f>
        <v>0</v>
      </c>
      <c r="D67" s="826">
        <f>'lokale energieproductie'!C7</f>
        <v>3687.9686931197666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744.96967601019287</v>
      </c>
      <c r="P67" s="922">
        <v>0</v>
      </c>
      <c r="Q67" s="785"/>
      <c r="R67" s="742"/>
    </row>
    <row r="68" spans="1:18" ht="30.75" thickBot="1">
      <c r="A68" s="801" t="s">
        <v>353</v>
      </c>
      <c r="B68" s="794">
        <f>'lokale energieproductie'!B8</f>
        <v>1341</v>
      </c>
      <c r="C68" s="794">
        <f>B68*IFERROR(SUM(J68:L68)/SUM(D68:M68),0)</f>
        <v>1341</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3831.4285714285716</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19673.223093866745</v>
      </c>
      <c r="C69" s="803">
        <f>SUM(C64:C68)</f>
        <v>16500.723093866745</v>
      </c>
      <c r="D69" s="804">
        <f t="shared" ref="D69:M69" si="8">SUM(D67:D68)</f>
        <v>3687.9686931197666</v>
      </c>
      <c r="E69" s="804">
        <f t="shared" si="8"/>
        <v>0</v>
      </c>
      <c r="F69" s="804">
        <f t="shared" si="8"/>
        <v>0</v>
      </c>
      <c r="G69" s="804">
        <f t="shared" si="8"/>
        <v>0</v>
      </c>
      <c r="H69" s="804">
        <f t="shared" si="8"/>
        <v>0</v>
      </c>
      <c r="I69" s="804">
        <f t="shared" si="8"/>
        <v>0</v>
      </c>
      <c r="J69" s="804">
        <f t="shared" si="8"/>
        <v>0</v>
      </c>
      <c r="K69" s="804">
        <f t="shared" si="8"/>
        <v>3831.4285714285716</v>
      </c>
      <c r="L69" s="804">
        <f t="shared" si="8"/>
        <v>0</v>
      </c>
      <c r="M69" s="930">
        <f t="shared" si="8"/>
        <v>0</v>
      </c>
      <c r="N69" s="805">
        <v>0</v>
      </c>
      <c r="O69" s="805">
        <f>SUM(O67:O68)</f>
        <v>744.96967601019287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5657.1428571428578</v>
      </c>
      <c r="C78" s="817">
        <f>B78*IFERROR(SUM(I78:L78)/SUM(D78:M78),0)</f>
        <v>0</v>
      </c>
      <c r="D78" s="832">
        <f>'lokale energieproductie'!C16</f>
        <v>6576.3170211659472</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1328.4160382755215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5657.1428571428578</v>
      </c>
      <c r="C81" s="803">
        <f>SUM(C78:C80)</f>
        <v>0</v>
      </c>
      <c r="D81" s="803">
        <f t="shared" ref="D81:P81" si="9">SUM(D78:D80)</f>
        <v>6576.3170211659472</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1328.4160382755215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59329.272154382707</v>
      </c>
      <c r="C4" s="478">
        <f>huishoudens!C8</f>
        <v>0</v>
      </c>
      <c r="D4" s="478">
        <f>huishoudens!D8</f>
        <v>220001.3404402</v>
      </c>
      <c r="E4" s="478">
        <f>huishoudens!E8</f>
        <v>4423.1652204440898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25522.958180791102</v>
      </c>
      <c r="O4" s="478">
        <f>huishoudens!O8</f>
        <v>358.00333333333339</v>
      </c>
      <c r="P4" s="479">
        <f>huishoudens!P8</f>
        <v>838.93333333333339</v>
      </c>
      <c r="Q4" s="480">
        <f>SUM(B4:P4)</f>
        <v>310473.67266248463</v>
      </c>
    </row>
    <row r="5" spans="1:17">
      <c r="A5" s="477" t="s">
        <v>156</v>
      </c>
      <c r="B5" s="478">
        <f ca="1">tertiair!B16</f>
        <v>88277.307451100001</v>
      </c>
      <c r="C5" s="478">
        <f ca="1">tertiair!C16</f>
        <v>1575.0000000000002</v>
      </c>
      <c r="D5" s="478">
        <f ca="1">tertiair!D16</f>
        <v>116060.6653801442</v>
      </c>
      <c r="E5" s="478">
        <f>tertiair!E16</f>
        <v>1646.482710597872</v>
      </c>
      <c r="F5" s="478">
        <f ca="1">tertiair!F16</f>
        <v>21444.225247264807</v>
      </c>
      <c r="G5" s="478">
        <f>tertiair!G16</f>
        <v>0</v>
      </c>
      <c r="H5" s="478">
        <f>tertiair!H16</f>
        <v>0</v>
      </c>
      <c r="I5" s="478">
        <f>tertiair!I16</f>
        <v>0</v>
      </c>
      <c r="J5" s="478">
        <f>tertiair!J16</f>
        <v>0</v>
      </c>
      <c r="K5" s="478">
        <f>tertiair!K16</f>
        <v>0</v>
      </c>
      <c r="L5" s="478">
        <f ca="1">tertiair!L16</f>
        <v>0</v>
      </c>
      <c r="M5" s="478">
        <f>tertiair!M16</f>
        <v>0</v>
      </c>
      <c r="N5" s="478">
        <f ca="1">tertiair!N16</f>
        <v>145.88839266505238</v>
      </c>
      <c r="O5" s="478">
        <f>tertiair!O16</f>
        <v>6.2533333333333339</v>
      </c>
      <c r="P5" s="479">
        <f>tertiair!P16</f>
        <v>152.53333333333333</v>
      </c>
      <c r="Q5" s="477">
        <f t="shared" ref="Q5:Q13" ca="1" si="0">SUM(B5:P5)</f>
        <v>229308.35584843857</v>
      </c>
    </row>
    <row r="6" spans="1:17">
      <c r="A6" s="477" t="s">
        <v>194</v>
      </c>
      <c r="B6" s="478">
        <f>'openbare verlichting'!B8</f>
        <v>2573.7930000000001</v>
      </c>
      <c r="C6" s="478"/>
      <c r="D6" s="478"/>
      <c r="E6" s="478"/>
      <c r="F6" s="478"/>
      <c r="G6" s="478"/>
      <c r="H6" s="478"/>
      <c r="I6" s="478"/>
      <c r="J6" s="478"/>
      <c r="K6" s="478"/>
      <c r="L6" s="478"/>
      <c r="M6" s="478"/>
      <c r="N6" s="478"/>
      <c r="O6" s="478"/>
      <c r="P6" s="479"/>
      <c r="Q6" s="477">
        <f t="shared" si="0"/>
        <v>2573.7930000000001</v>
      </c>
    </row>
    <row r="7" spans="1:17">
      <c r="A7" s="477" t="s">
        <v>112</v>
      </c>
      <c r="B7" s="478">
        <f>landbouw!B8</f>
        <v>1434.6653547799999</v>
      </c>
      <c r="C7" s="478">
        <f>landbouw!C8</f>
        <v>0</v>
      </c>
      <c r="D7" s="478">
        <f>landbouw!D8</f>
        <v>9468.7134613896014</v>
      </c>
      <c r="E7" s="478">
        <f>landbouw!E8</f>
        <v>36.994511021675194</v>
      </c>
      <c r="F7" s="478">
        <f>landbouw!F8</f>
        <v>5243.975090465532</v>
      </c>
      <c r="G7" s="478">
        <f>landbouw!G8</f>
        <v>0</v>
      </c>
      <c r="H7" s="478">
        <f>landbouw!H8</f>
        <v>0</v>
      </c>
      <c r="I7" s="478">
        <f>landbouw!I8</f>
        <v>0</v>
      </c>
      <c r="J7" s="478">
        <f>landbouw!J8</f>
        <v>206.53903454589761</v>
      </c>
      <c r="K7" s="478">
        <f>landbouw!K8</f>
        <v>0</v>
      </c>
      <c r="L7" s="478">
        <f>landbouw!L8</f>
        <v>0</v>
      </c>
      <c r="M7" s="478">
        <f>landbouw!M8</f>
        <v>0</v>
      </c>
      <c r="N7" s="478">
        <f>landbouw!N8</f>
        <v>0</v>
      </c>
      <c r="O7" s="478">
        <f>landbouw!O8</f>
        <v>0</v>
      </c>
      <c r="P7" s="479">
        <f>landbouw!P8</f>
        <v>0</v>
      </c>
      <c r="Q7" s="477">
        <f t="shared" si="0"/>
        <v>16390.887452202707</v>
      </c>
    </row>
    <row r="8" spans="1:17">
      <c r="A8" s="477" t="s">
        <v>638</v>
      </c>
      <c r="B8" s="478">
        <f>industrie!B18</f>
        <v>187547.59711653</v>
      </c>
      <c r="C8" s="478">
        <f>industrie!C18</f>
        <v>4082.1428571428573</v>
      </c>
      <c r="D8" s="478">
        <f>industrie!D18</f>
        <v>147553.10094733463</v>
      </c>
      <c r="E8" s="478">
        <f>industrie!E18</f>
        <v>9523.9954336567134</v>
      </c>
      <c r="F8" s="478">
        <f>industrie!F18</f>
        <v>39213.956526337817</v>
      </c>
      <c r="G8" s="478">
        <f>industrie!G18</f>
        <v>0</v>
      </c>
      <c r="H8" s="478">
        <f>industrie!H18</f>
        <v>0</v>
      </c>
      <c r="I8" s="478">
        <f>industrie!I18</f>
        <v>0</v>
      </c>
      <c r="J8" s="478">
        <f>industrie!J18</f>
        <v>2666.3709953868802</v>
      </c>
      <c r="K8" s="478">
        <f>industrie!K18</f>
        <v>0</v>
      </c>
      <c r="L8" s="478">
        <f>industrie!L18</f>
        <v>0</v>
      </c>
      <c r="M8" s="478">
        <f>industrie!M18</f>
        <v>0</v>
      </c>
      <c r="N8" s="478">
        <f>industrie!N18</f>
        <v>81966.525167333428</v>
      </c>
      <c r="O8" s="478">
        <f>industrie!O18</f>
        <v>0</v>
      </c>
      <c r="P8" s="479">
        <f>industrie!P18</f>
        <v>0</v>
      </c>
      <c r="Q8" s="477">
        <f t="shared" si="0"/>
        <v>472553.68904372235</v>
      </c>
    </row>
    <row r="9" spans="1:17" s="483" customFormat="1">
      <c r="A9" s="481" t="s">
        <v>564</v>
      </c>
      <c r="B9" s="482">
        <f>transport!B14</f>
        <v>57.734175294592625</v>
      </c>
      <c r="C9" s="482">
        <f>transport!C14</f>
        <v>0</v>
      </c>
      <c r="D9" s="482">
        <f>transport!D14</f>
        <v>126.77863029534203</v>
      </c>
      <c r="E9" s="482">
        <f>transport!E14</f>
        <v>521.09425893209652</v>
      </c>
      <c r="F9" s="482">
        <f>transport!F14</f>
        <v>0</v>
      </c>
      <c r="G9" s="482">
        <f>transport!G14</f>
        <v>202832.08515565624</v>
      </c>
      <c r="H9" s="482">
        <f>transport!H14</f>
        <v>34493.72329744236</v>
      </c>
      <c r="I9" s="482">
        <f>transport!I14</f>
        <v>0</v>
      </c>
      <c r="J9" s="482">
        <f>transport!J14</f>
        <v>0</v>
      </c>
      <c r="K9" s="482">
        <f>transport!K14</f>
        <v>0</v>
      </c>
      <c r="L9" s="482">
        <f>transport!L14</f>
        <v>0</v>
      </c>
      <c r="M9" s="482">
        <f>transport!M14</f>
        <v>7423.5414248288744</v>
      </c>
      <c r="N9" s="482">
        <f>transport!N14</f>
        <v>0</v>
      </c>
      <c r="O9" s="482">
        <f>transport!O14</f>
        <v>0</v>
      </c>
      <c r="P9" s="482">
        <f>transport!P14</f>
        <v>0</v>
      </c>
      <c r="Q9" s="481">
        <f>SUM(B9:P9)</f>
        <v>245454.9569424495</v>
      </c>
    </row>
    <row r="10" spans="1:17">
      <c r="A10" s="477" t="s">
        <v>554</v>
      </c>
      <c r="B10" s="478">
        <f>transport!B54</f>
        <v>0</v>
      </c>
      <c r="C10" s="478">
        <f>transport!C54</f>
        <v>0</v>
      </c>
      <c r="D10" s="478">
        <f>transport!D54</f>
        <v>0</v>
      </c>
      <c r="E10" s="478">
        <f>transport!E54</f>
        <v>0</v>
      </c>
      <c r="F10" s="478">
        <f>transport!F54</f>
        <v>0</v>
      </c>
      <c r="G10" s="478">
        <f>transport!G54</f>
        <v>5140.3048240006274</v>
      </c>
      <c r="H10" s="478">
        <f>transport!H54</f>
        <v>0</v>
      </c>
      <c r="I10" s="478">
        <f>transport!I54</f>
        <v>0</v>
      </c>
      <c r="J10" s="478">
        <f>transport!J54</f>
        <v>0</v>
      </c>
      <c r="K10" s="478">
        <f>transport!K54</f>
        <v>0</v>
      </c>
      <c r="L10" s="478">
        <f>transport!L54</f>
        <v>0</v>
      </c>
      <c r="M10" s="478">
        <f>transport!M54</f>
        <v>159.44075584261969</v>
      </c>
      <c r="N10" s="478">
        <f>transport!N54</f>
        <v>0</v>
      </c>
      <c r="O10" s="478">
        <f>transport!O54</f>
        <v>0</v>
      </c>
      <c r="P10" s="479">
        <f>transport!P54</f>
        <v>0</v>
      </c>
      <c r="Q10" s="477">
        <f t="shared" si="0"/>
        <v>5299.7455798432475</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339220.36925208726</v>
      </c>
      <c r="C14" s="488">
        <f t="shared" ref="C14:Q14" ca="1" si="1">SUM(C4:C13)</f>
        <v>5657.1428571428578</v>
      </c>
      <c r="D14" s="488">
        <f t="shared" ca="1" si="1"/>
        <v>493210.59885936376</v>
      </c>
      <c r="E14" s="488">
        <f t="shared" si="1"/>
        <v>16151.732134652446</v>
      </c>
      <c r="F14" s="488">
        <f t="shared" ca="1" si="1"/>
        <v>65902.156864068151</v>
      </c>
      <c r="G14" s="488">
        <f t="shared" si="1"/>
        <v>207972.38997965687</v>
      </c>
      <c r="H14" s="488">
        <f t="shared" si="1"/>
        <v>34493.72329744236</v>
      </c>
      <c r="I14" s="488">
        <f t="shared" si="1"/>
        <v>0</v>
      </c>
      <c r="J14" s="488">
        <f t="shared" si="1"/>
        <v>2872.9100299327779</v>
      </c>
      <c r="K14" s="488">
        <f t="shared" si="1"/>
        <v>0</v>
      </c>
      <c r="L14" s="488">
        <f t="shared" ca="1" si="1"/>
        <v>0</v>
      </c>
      <c r="M14" s="488">
        <f t="shared" si="1"/>
        <v>7582.9821806714945</v>
      </c>
      <c r="N14" s="488">
        <f t="shared" ca="1" si="1"/>
        <v>107635.37174078959</v>
      </c>
      <c r="O14" s="488">
        <f t="shared" si="1"/>
        <v>364.25666666666672</v>
      </c>
      <c r="P14" s="489">
        <f t="shared" si="1"/>
        <v>991.4666666666667</v>
      </c>
      <c r="Q14" s="489">
        <f t="shared" ca="1" si="1"/>
        <v>1282055.100529141</v>
      </c>
    </row>
    <row r="16" spans="1:17">
      <c r="A16" s="491" t="s">
        <v>559</v>
      </c>
      <c r="B16" s="841">
        <f ca="1">huishoudens!B10</f>
        <v>0.21037913829974941</v>
      </c>
      <c r="C16" s="841">
        <f ca="1">huishoudens!C10</f>
        <v>0.23482101686688509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12481.641151790351</v>
      </c>
      <c r="C21" s="478">
        <f t="shared" ref="C21:C30" ca="1" si="3">C4*$C$16</f>
        <v>0</v>
      </c>
      <c r="D21" s="478">
        <f t="shared" ref="D21:D30" si="4">D4*$D$16</f>
        <v>44440.270768920403</v>
      </c>
      <c r="E21" s="478">
        <f t="shared" ref="E21:E30" si="5">E4*$E$16</f>
        <v>1004.0585050408084</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57925.97042575157</v>
      </c>
    </row>
    <row r="22" spans="1:17">
      <c r="A22" s="477" t="s">
        <v>156</v>
      </c>
      <c r="B22" s="478">
        <f t="shared" ca="1" si="2"/>
        <v>18571.703872984468</v>
      </c>
      <c r="C22" s="478">
        <f t="shared" ca="1" si="3"/>
        <v>369.84310156534406</v>
      </c>
      <c r="D22" s="478">
        <f t="shared" ca="1" si="4"/>
        <v>23444.254406789129</v>
      </c>
      <c r="E22" s="478">
        <f t="shared" si="5"/>
        <v>373.75157530571698</v>
      </c>
      <c r="F22" s="478">
        <f t="shared" ca="1" si="6"/>
        <v>5725.6081410197039</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48485.161097664357</v>
      </c>
    </row>
    <row r="23" spans="1:17">
      <c r="A23" s="477" t="s">
        <v>194</v>
      </c>
      <c r="B23" s="478">
        <f t="shared" ca="1" si="2"/>
        <v>541.47235350192693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541.47235350192693</v>
      </c>
    </row>
    <row r="24" spans="1:17">
      <c r="A24" s="477" t="s">
        <v>112</v>
      </c>
      <c r="B24" s="478">
        <f t="shared" ca="1" si="2"/>
        <v>301.82366108712068</v>
      </c>
      <c r="C24" s="478">
        <f t="shared" ca="1" si="3"/>
        <v>0</v>
      </c>
      <c r="D24" s="478">
        <f t="shared" si="4"/>
        <v>1912.6801192006997</v>
      </c>
      <c r="E24" s="478">
        <f t="shared" si="5"/>
        <v>8.3977540019202692</v>
      </c>
      <c r="F24" s="478">
        <f t="shared" si="6"/>
        <v>1400.1413491542971</v>
      </c>
      <c r="G24" s="478">
        <f t="shared" si="7"/>
        <v>0</v>
      </c>
      <c r="H24" s="478">
        <f t="shared" si="8"/>
        <v>0</v>
      </c>
      <c r="I24" s="478">
        <f t="shared" si="9"/>
        <v>0</v>
      </c>
      <c r="J24" s="478">
        <f t="shared" si="10"/>
        <v>73.114818229247746</v>
      </c>
      <c r="K24" s="478">
        <f t="shared" si="11"/>
        <v>0</v>
      </c>
      <c r="L24" s="478">
        <f t="shared" si="12"/>
        <v>0</v>
      </c>
      <c r="M24" s="478">
        <f t="shared" si="13"/>
        <v>0</v>
      </c>
      <c r="N24" s="478">
        <f t="shared" si="14"/>
        <v>0</v>
      </c>
      <c r="O24" s="478">
        <f t="shared" si="15"/>
        <v>0</v>
      </c>
      <c r="P24" s="479">
        <f t="shared" si="16"/>
        <v>0</v>
      </c>
      <c r="Q24" s="477">
        <f t="shared" ca="1" si="17"/>
        <v>3696.1577016732858</v>
      </c>
    </row>
    <row r="25" spans="1:17">
      <c r="A25" s="477" t="s">
        <v>638</v>
      </c>
      <c r="B25" s="478">
        <f t="shared" ca="1" si="2"/>
        <v>39456.101871564148</v>
      </c>
      <c r="C25" s="478">
        <f t="shared" ca="1" si="3"/>
        <v>958.57293671017737</v>
      </c>
      <c r="D25" s="478">
        <f t="shared" si="4"/>
        <v>29805.726391361597</v>
      </c>
      <c r="E25" s="478">
        <f t="shared" si="5"/>
        <v>2161.9469634400739</v>
      </c>
      <c r="F25" s="478">
        <f t="shared" si="6"/>
        <v>10470.126392532198</v>
      </c>
      <c r="G25" s="478">
        <f t="shared" si="7"/>
        <v>0</v>
      </c>
      <c r="H25" s="478">
        <f t="shared" si="8"/>
        <v>0</v>
      </c>
      <c r="I25" s="478">
        <f t="shared" si="9"/>
        <v>0</v>
      </c>
      <c r="J25" s="478">
        <f t="shared" si="10"/>
        <v>943.89533236695559</v>
      </c>
      <c r="K25" s="478">
        <f t="shared" si="11"/>
        <v>0</v>
      </c>
      <c r="L25" s="478">
        <f t="shared" si="12"/>
        <v>0</v>
      </c>
      <c r="M25" s="478">
        <f t="shared" si="13"/>
        <v>0</v>
      </c>
      <c r="N25" s="478">
        <f t="shared" si="14"/>
        <v>0</v>
      </c>
      <c r="O25" s="478">
        <f t="shared" si="15"/>
        <v>0</v>
      </c>
      <c r="P25" s="479">
        <f t="shared" si="16"/>
        <v>0</v>
      </c>
      <c r="Q25" s="477">
        <f t="shared" ca="1" si="17"/>
        <v>83796.369887975146</v>
      </c>
    </row>
    <row r="26" spans="1:17" s="483" customFormat="1">
      <c r="A26" s="481" t="s">
        <v>564</v>
      </c>
      <c r="B26" s="835">
        <f t="shared" ca="1" si="2"/>
        <v>12.146066048923078</v>
      </c>
      <c r="C26" s="482">
        <f t="shared" ca="1" si="3"/>
        <v>0</v>
      </c>
      <c r="D26" s="482">
        <f t="shared" si="4"/>
        <v>25.609283319659092</v>
      </c>
      <c r="E26" s="482">
        <f t="shared" si="5"/>
        <v>118.28839677758592</v>
      </c>
      <c r="F26" s="482">
        <f t="shared" si="6"/>
        <v>0</v>
      </c>
      <c r="G26" s="482">
        <f t="shared" si="7"/>
        <v>54156.166736560219</v>
      </c>
      <c r="H26" s="482">
        <f t="shared" si="8"/>
        <v>8588.9371010631476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62901.147583769533</v>
      </c>
    </row>
    <row r="27" spans="1:17">
      <c r="A27" s="477" t="s">
        <v>554</v>
      </c>
      <c r="B27" s="478">
        <f t="shared" ca="1" si="2"/>
        <v>0</v>
      </c>
      <c r="C27" s="478">
        <f t="shared" ca="1" si="3"/>
        <v>0</v>
      </c>
      <c r="D27" s="478">
        <f t="shared" si="4"/>
        <v>0</v>
      </c>
      <c r="E27" s="478">
        <f t="shared" si="5"/>
        <v>0</v>
      </c>
      <c r="F27" s="478">
        <f t="shared" si="6"/>
        <v>0</v>
      </c>
      <c r="G27" s="478">
        <f t="shared" si="7"/>
        <v>1372.4613880081677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1372.4613880081677</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71364.88897697693</v>
      </c>
      <c r="C31" s="488">
        <f t="shared" ca="1" si="18"/>
        <v>1328.4160382755215</v>
      </c>
      <c r="D31" s="488">
        <f t="shared" ca="1" si="18"/>
        <v>99628.540969591486</v>
      </c>
      <c r="E31" s="488">
        <f t="shared" si="18"/>
        <v>3666.4431945661054</v>
      </c>
      <c r="F31" s="488">
        <f t="shared" ca="1" si="18"/>
        <v>17595.875882706197</v>
      </c>
      <c r="G31" s="488">
        <f t="shared" si="18"/>
        <v>55528.628124568386</v>
      </c>
      <c r="H31" s="488">
        <f t="shared" si="18"/>
        <v>8588.9371010631476</v>
      </c>
      <c r="I31" s="488">
        <f t="shared" si="18"/>
        <v>0</v>
      </c>
      <c r="J31" s="488">
        <f t="shared" si="18"/>
        <v>1017.0101505962033</v>
      </c>
      <c r="K31" s="488">
        <f t="shared" si="18"/>
        <v>0</v>
      </c>
      <c r="L31" s="488">
        <f t="shared" ca="1" si="18"/>
        <v>0</v>
      </c>
      <c r="M31" s="488">
        <f t="shared" si="18"/>
        <v>0</v>
      </c>
      <c r="N31" s="488">
        <f t="shared" ca="1" si="18"/>
        <v>0</v>
      </c>
      <c r="O31" s="488">
        <f t="shared" si="18"/>
        <v>0</v>
      </c>
      <c r="P31" s="489">
        <f t="shared" si="18"/>
        <v>0</v>
      </c>
      <c r="Q31" s="489">
        <f t="shared" ca="1" si="18"/>
        <v>258718.74043834399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0.21037913829974941</v>
      </c>
      <c r="C17" s="528">
        <f ca="1">'EF ele_warmte'!B22</f>
        <v>0.23482101686688509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0.21037913829974941</v>
      </c>
      <c r="C17" s="528">
        <f ca="1">'EF ele_warmte'!B22</f>
        <v>0.23482101686688509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0.21037913829974941</v>
      </c>
      <c r="C29" s="529">
        <f ca="1">'EF ele_warmte'!B22</f>
        <v>0.23482101686688509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2018-06-27T09:41:15Z</dcterms:modified>
</cp:coreProperties>
</file>