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I14" l="1"/>
  <c r="P13" i="14"/>
  <c r="P15" s="1"/>
  <c r="P23" s="1"/>
  <c r="P55" s="1"/>
  <c r="P41"/>
  <c r="P53" s="1"/>
  <c r="N7" i="48"/>
  <c r="N24" s="1"/>
  <c r="G14" i="22"/>
  <c r="H14"/>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5" i="14" l="1"/>
  <c r="F23" s="1"/>
  <c r="F55" s="1"/>
  <c r="K41"/>
  <c r="K53" s="1"/>
  <c r="J8" i="48"/>
  <c r="J25" s="1"/>
  <c r="J31" s="1"/>
  <c r="N25"/>
  <c r="N31" s="1"/>
  <c r="N14"/>
  <c r="E25"/>
  <c r="E31" s="1"/>
  <c r="E14"/>
  <c r="K13" i="14"/>
  <c r="K15" s="1"/>
  <c r="K23" s="1"/>
  <c r="H55"/>
  <c r="E55"/>
  <c r="C78"/>
  <c r="C81" s="1"/>
  <c r="R19"/>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<sst xmlns="http://schemas.openxmlformats.org/spreadsheetml/2006/main" count="1924" uniqueCount="818">
  <si>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</si>
  <si>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</si>
  <si>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</si>
  <si>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</si>
  <si>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</si>
  <si>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</si>
  <si>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</si>
  <si>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</si>
  <si>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</si>
  <si>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</si>
  <si>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</si>
  <si>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</si>
  <si>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</si>
  <si>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</si>
  <si>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</si>
  <si>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</si>
  <si>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</si>
  <si>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</si>
  <si>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</si>
  <si>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</si>
  <si>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</si>
  <si>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</si>
  <si>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</si>
  <si>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</si>
  <si>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</si>
  <si>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</si>
  <si>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</si>
  <si>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</si>
  <si>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</si>
  <si>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</si>
  <si>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</si>
  <si>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</si>
  <si>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</si>
  <si>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</si>
  <si>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</si>
  <si>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</si>
  <si>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</si>
  <si>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</si>
  <si>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</si>
  <si>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</si>
  <si>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</si>
  <si>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</si>
  <si>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</si>
  <si>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</si>
  <si>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</si>
  <si>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</si>
  <si>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</si>
  <si>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</si>
  <si>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</si>
  <si>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</si>
  <si>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</si>
  <si>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</si>
  <si>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</si>
  <si>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</si>
  <si>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</si>
  <si>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</si>
  <si>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</si>
  <si>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</si>
  <si>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</si>
  <si>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</si>
  <si>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</si>
  <si>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</si>
  <si>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</si>
  <si>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</si>
  <si>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</si>
  <si>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</si>
  <si>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</si>
  <si>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</si>
  <si>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</si>
  <si>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</si>
  <si>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</si>
  <si>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</si>
  <si>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</si>
  <si>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</si>
  <si>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</si>
  <si>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</si>
  <si>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</si>
  <si>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</si>
  <si>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</si>
  <si>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</si>
  <si>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</si>
  <si>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</si>
  <si>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</si>
  <si>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</si>
  <si>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</si>
  <si>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</si>
  <si>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</si>
  <si>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</si>
  <si>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</si>
  <si>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</si>
  <si>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</si>
  <si>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</si>
  <si>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</si>
  <si>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</si>
  <si>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</si>
  <si>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</si>
  <si>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</si>
  <si>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</si>
  <si>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</si>
  <si>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</si>
  <si>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</si>
  <si>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</si>
  <si>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</si>
  <si>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</si>
  <si>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</si>
  <si>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</si>
  <si>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</si>
  <si>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</si>
  <si>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</si>
  <si>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</si>
  <si>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</si>
  <si>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</si>
  <si>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</si>
  <si>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</si>
  <si>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</si>
  <si>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</si>
  <si>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</si>
  <si>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</si>
  <si>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</si>
  <si>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</si>
  <si>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</si>
  <si>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</si>
  <si>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</si>
  <si>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</si>
  <si>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</si>
  <si>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</si>
  <si>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</si>
  <si>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</si>
  <si>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</si>
  <si>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</si>
  <si>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</si>
  <si>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</si>
  <si>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</si>
  <si>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</si>
  <si>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</si>
  <si>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</si>
  <si>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</si>
  <si>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</si>
  <si>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</si>
  <si>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</si>
  <si>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</si>
  <si>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</si>
  <si>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</si>
  <si>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</si>
  <si>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</si>
  <si>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</si>
  <si>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</si>
  <si>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</si>
  <si>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</si>
  <si>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</si>
  <si>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</si>
  <si>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</si>
  <si>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</si>
  <si>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</si>
  <si>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</si>
  <si>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</si>
  <si>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</si>
  <si>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</si>
  <si>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</si>
  <si>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</si>
  <si>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</si>
  <si>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</si>
  <si>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</si>
  <si>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</si>
  <si>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</si>
  <si>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</si>
  <si>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</si>
  <si>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</si>
  <si>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</si>
  <si>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</si>
  <si>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</si>
  <si>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</si>
  <si>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</si>
  <si>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</si>
  <si>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</si>
  <si>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</si>
  <si>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</si>
  <si>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</si>
  <si>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</si>
  <si>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</si>
  <si>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</si>
  <si>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</si>
  <si>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</si>
  <si>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</si>
  <si>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</si>
  <si>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</si>
  <si>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</si>
  <si>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</si>
  <si>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</si>
  <si>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</si>
  <si>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</si>
  <si>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</si>
  <si>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</si>
  <si>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</si>
  <si>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</si>
  <si>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</si>
  <si>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</si>
  <si>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</si>
  <si>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</si>
  <si>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</si>
  <si>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</si>
  <si>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</si>
  <si>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</si>
  <si>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</si>
  <si>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</si>
  <si>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</si>
  <si>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</si>
  <si>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</si>
  <si>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</si>
  <si>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</si>
  <si>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</si>
  <si>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</si>
  <si>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</si>
  <si>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</si>
  <si>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</si>
  <si>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</si>
  <si>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</si>
  <si>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</si>
  <si>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</si>
  <si>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</si>
  <si>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</si>
  <si>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</si>
  <si>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</si>
  <si>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</si>
  <si>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</si>
  <si>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</si>
  <si>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</si>
  <si>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</si>
  <si>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</si>
  <si>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</si>
  <si>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</si>
  <si>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</si>
  <si>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</si>
  <si>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</si>
  <si>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</si>
  <si>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</si>
  <si>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</si>
  <si>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</si>
  <si>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</si>
  <si>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</si>
  <si>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</si>
  <si>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</si>
  <si>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</si>
  <si>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</si>
  <si>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</si>
  <si>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</si>
  <si>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</si>
  <si>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</si>
  <si>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</si>
  <si>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</si>
  <si>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</si>
  <si>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</si>
  <si>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</si>
  <si>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</si>
  <si>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</si>
  <si>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</si>
  <si>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</si>
  <si>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</si>
  <si>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</si>
  <si>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</si>
  <si>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</si>
  <si>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</si>
  <si>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</si>
  <si>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</si>
  <si>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</si>
  <si>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</si>
  <si>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</si>
  <si>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</si>
  <si>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</si>
  <si>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</si>
  <si>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</si>
  <si>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</si>
  <si>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</si>
  <si>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</si>
  <si>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</si>
  <si>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</si>
  <si>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</si>
  <si>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</si>
  <si>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</si>
  <si>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</si>
  <si>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</si>
  <si>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</si>
  <si>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</si>
  <si>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</si>
  <si>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</si>
  <si>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</si>
  <si>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</si>
  <si>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</si>
  <si>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</si>
  <si>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</si>
  <si>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</si>
  <si>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</si>
  <si>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</si>
  <si>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</si>
  <si>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</si>
  <si>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</si>
  <si>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</si>
  <si>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</si>
  <si>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</si>
  <si>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</si>
  <si>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</si>
  <si>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</si>
  <si>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</si>
  <si>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</si>
  <si>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</si>
  <si>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</si>
  <si>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</si>
  <si>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</si>
  <si>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</si>
  <si>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</si>
  <si>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</si>
  <si>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</si>
  <si>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</si>
  <si>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</si>
  <si>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</si>
  <si>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</si>
  <si>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</si>
  <si>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</si>
  <si>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</si>
  <si>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</si>
  <si>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</si>
  <si>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</si>
  <si>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</si>
  <si>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</si>
  <si>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</si>
  <si>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</si>
  <si>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</si>
  <si>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</si>
  <si>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</si>
  <si>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</si>
  <si>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</si>
  <si>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</si>
  <si>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</si>
  <si>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</si>
  <si>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</si>
  <si>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</si>
  <si>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</si>
  <si>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</si>
  <si>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</si>
  <si>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</si>
  <si>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</si>
  <si>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</si>
  <si>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</si>
  <si>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</si>
  <si>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</si>
  <si>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</si>
  <si>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</si>
  <si>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</si>
  <si>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</si>
  <si>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</si>
  <si>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</si>
  <si>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</si>
  <si>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</si>
  <si>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</si>
  <si>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</si>
  <si>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</si>
  <si>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</si>
  <si>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</si>
  <si>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</si>
  <si>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</si>
  <si>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</si>
  <si>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</si>
  <si>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</si>
  <si>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</si>
  <si>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</si>
  <si>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</si>
  <si>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</si>
  <si>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</si>
  <si>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</si>
  <si>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</si>
  <si>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</si>
  <si>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</si>
  <si>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</si>
  <si>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</si>
  <si>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</si>
  <si>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</si>
  <si>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</si>
  <si>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</si>
  <si>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</si>
  <si>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</si>
  <si>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</si>
  <si>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</si>
  <si>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</si>
  <si>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</si>
  <si>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</si>
  <si>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</si>
  <si>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</si>
  <si>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</si>
  <si>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</si>
  <si>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</si>
  <si>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</si>
  <si>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</si>
  <si>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</si>
  <si>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</si>
  <si>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</si>
  <si>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</si>
  <si>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</si>
  <si>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</si>
  <si>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</si>
  <si>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</si>
  <si>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</si>
  <si>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</si>
  <si>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</si>
  <si>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</si>
  <si>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</si>
  <si>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</si>
  <si>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</si>
  <si>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</si>
  <si>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</si>
  <si>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</si>
  <si>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</si>
  <si>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</si>
  <si>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</si>
  <si>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</si>
  <si>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</si>
  <si>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</si>
  <si>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</si>
  <si>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</si>
  <si>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</si>
  <si>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</si>
  <si>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</si>
  <si>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</si>
  <si>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</si>
  <si>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</si>
  <si>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</si>
  <si>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</si>
  <si>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</si>
  <si>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</si>
  <si>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</si>
  <si>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</si>
  <si>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</si>
  <si>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</si>
  <si>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</si>
  <si>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</si>
  <si>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</si>
  <si>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</si>
  <si>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</si>
  <si>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</si>
  <si>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</si>
  <si>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</si>
  <si>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</si>
  <si>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</si>
  <si>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</si>
  <si>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</si>
  <si>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</si>
  <si>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</si>
  <si>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</si>
  <si>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</si>
  <si>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</si>
  <si>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</si>
  <si>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</si>
  <si>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</si>
  <si>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</si>
  <si>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</si>
  <si>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</si>
  <si>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</si>
  <si>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</si>
  <si>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</si>
  <si>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</si>
  <si>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</si>
  <si>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</si>
  <si>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</si>
  <si>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</si>
  <si>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</si>
  <si>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</si>
  <si>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</si>
  <si>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</si>
  <si>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</si>
  <si>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</si>
  <si>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</si>
  <si>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</si>
  <si>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</si>
  <si>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</si>
  <si>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</si>
  <si>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</si>
  <si>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</si>
  <si>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</si>
  <si>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</si>
  <si>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</si>
  <si>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</si>
  <si>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</si>
  <si>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</si>
  <si>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</si>
  <si>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</si>
  <si>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</si>
  <si>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</si>
  <si>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</si>
  <si>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</si>
  <si>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</si>
  <si>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</si>
  <si>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</si>
  <si>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</si>
  <si>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</si>
  <si>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</si>
  <si>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</si>
  <si>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</si>
  <si>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</si>
  <si>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</si>
  <si>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</si>
  <si>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</si>
  <si>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</si>
  <si>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</si>
  <si>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</si>
  <si>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</si>
  <si>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</si>
  <si>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</si>
  <si>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</si>
  <si>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</si>
  <si>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</si>
  <si>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</si>
  <si>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</si>
  <si>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</si>
  <si>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</si>
  <si>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</si>
  <si>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</si>
  <si>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</si>
  <si>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</si>
  <si>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</si>
  <si>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</si>
  <si>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</si>
  <si>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</si>
  <si>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</si>
  <si>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</si>
  <si>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</si>
  <si>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</si>
  <si>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</si>
  <si>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</si>
  <si>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</si>
  <si>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</si>
  <si>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</si>
  <si>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</si>
  <si>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</si>
  <si>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</si>
  <si>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</si>
  <si>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</si>
  <si>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</si>
  <si>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</si>
  <si>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</si>
  <si>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</si>
  <si>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</si>
  <si>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</si>
  <si>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</si>
  <si>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</si>
  <si>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</si>
  <si>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</si>
  <si>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</si>
  <si>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</si>
  <si>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</si>
  <si>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</si>
  <si>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</si>
  <si>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</si>
  <si>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</si>
  <si>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</si>
  <si>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</si>
  <si>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</si>
  <si>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</si>
  <si>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</si>
  <si>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</si>
  <si>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</si>
  <si>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</si>
  <si>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</si>
  <si>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</si>
  <si>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</si>
  <si>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</si>
  <si>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</si>
  <si>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</si>
  <si>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</si>
  <si>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</si>
  <si>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</si>
  <si>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</si>
  <si>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</si>
  <si>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</si>
  <si>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</si>
  <si>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</si>
  <si>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</si>
  <si>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</si>
  <si>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</si>
  <si>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</si>
  <si>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</si>
  <si>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</si>
  <si>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</si>
  <si>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</si>
  <si>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</si>
  <si>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</si>
  <si>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</si>
  <si>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</si>
  <si>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</si>
  <si>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</si>
  <si>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</si>
  <si>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</si>
  <si>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</si>
  <si>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</si>
  <si>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</si>
  <si>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</si>
  <si>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</si>
  <si>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</si>
  <si>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</si>
  <si>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</si>
  <si>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</si>
  <si>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</si>
  <si>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</si>
  <si>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</si>
  <si>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</si>
  <si>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</si>
  <si>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</si>
  <si>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</si>
  <si>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</si>
  <si>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</si>
  <si>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</si>
  <si>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</si>
  <si>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</si>
  <si>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</si>
  <si>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</si>
  <si>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</si>
  <si>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</si>
  <si>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</si>
  <si>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</si>
  <si>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</si>
  <si>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</si>
  <si>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</si>
  <si>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</si>
  <si>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</si>
  <si>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</si>
  <si>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</si>
  <si>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</si>
  <si>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</si>
  <si>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</si>
  <si>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</si>
  <si>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</si>
  <si>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</si>
  <si>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</si>
  <si>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</si>
  <si>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</si>
  <si>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</si>
  <si>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</si>
  <si>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</si>
  <si>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</si>
  <si>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</si>
  <si>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</si>
  <si>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</si>
  <si>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</si>
  <si>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</si>
  <si>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</si>
  <si>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</si>
  <si>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</si>
  <si>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</si>
  <si>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</si>
  <si>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</si>
  <si>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</si>
  <si>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</si>
  <si>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</si>
  <si>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</si>
  <si>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</si>
  <si>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</si>
  <si>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</si>
  <si>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</si>
  <si>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</si>
  <si>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</si>
  <si>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</si>
  <si>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</si>
  <si>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</si>
  <si>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</si>
  <si>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</si>
  <si>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</si>
  <si>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</si>
  <si>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</si>
  <si>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</si>
  <si>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</si>
  <si>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</si>
  <si>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</si>
  <si>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</si>
  <si>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</si>
  <si>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</si>
  <si>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</si>
  <si>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</si>
  <si>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</si>
  <si>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</si>
  <si>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</si>
  <si>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</si>
  <si>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</si>
  <si>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</si>
  <si>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</si>
  <si>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</si>
  <si>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</si>
  <si>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</si>
  <si>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</si>
  <si>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</si>
  <si>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</si>
  <si>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</si>
  <si>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</si>
  <si>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</si>
  <si>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</si>
  <si>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</si>
  <si>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</si>
  <si>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</si>
  <si>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</si>
  <si>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</si>
  <si>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</si>
  <si>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</si>
  <si>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</si>
  <si>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</si>
  <si>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</si>
  <si>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</si>
  <si>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</si>
  <si>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</si>
  <si>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</si>
  <si>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</si>
  <si>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</si>
  <si>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</si>
  <si>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</si>
  <si>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</si>
  <si>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</si>
  <si>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</si>
  <si>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</si>
  <si>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</si>
  <si>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</si>
  <si>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</si>
  <si>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</si>
  <si>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</si>
  <si>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</si>
  <si>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</si>
  <si>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</si>
  <si>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</si>
  <si>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</si>
  <si>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</si>
  <si>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</si>
  <si>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</si>
  <si>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</si>
  <si>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</si>
  <si>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</si>
  <si>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</si>
  <si>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</si>
  <si>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</si>
  <si>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</si>
  <si>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</si>
  <si>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</si>
  <si>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</si>
  <si>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</si>
  <si>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</si>
  <si>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</si>
  <si>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</si>
  <si>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</si>
  <si>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</si>
  <si>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</si>
  <si>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</si>
  <si>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</si>
  <si>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</si>
  <si>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</si>
  <si>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</si>
  <si>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</si>
  <si>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</si>
  <si>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</si>
  <si>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</si>
  <si>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</si>
  <si>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</si>
  <si>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</si>
  <si>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</si>
  <si>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</si>
  <si>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</si>
  <si>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</si>
  <si>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</si>
  <si>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</si>
  <si>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</si>
  <si>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</si>
  <si>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</si>
  <si>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</si>
  <si>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</si>
  <si>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</si>
  <si>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</si>
  <si>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</si>
  <si>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</si>
  <si>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</si>
  <si>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</si>
  <si>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</si>
  <si>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</si>
  <si>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</si>
  <si>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</si>
  <si>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</si>
  <si>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</si>
  <si>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</si>
  <si>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</si>
  <si>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</si>
  <si>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</si>
  <si>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</si>
  <si>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</si>
  <si>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</si>
  <si>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</si>
  <si>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</si>
  <si>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</si>
  <si>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</si>
  <si>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</si>
  <si>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</si>
  <si>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</si>
  <si>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</si>
  <si>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</si>
  <si>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</si>
  <si>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</si>
  <si>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</si>
  <si>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</si>
  <si>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</si>
  <si>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</si>
  <si>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</si>
  <si>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</si>
  <si>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</si>
  <si>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</si>
  <si>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</si>
  <si>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</si>
  <si>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</si>
  <si>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</si>
  <si>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</si>
  <si>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13036</t>
  </si>
  <si>
    <t>RETIE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</si>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</sst>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107276.20696641319</c:v>
                </c:pt>
                <c:pt idx="1">
                  <c:v>23285.551167654328</c:v>
                </c:pt>
                <c:pt idx="2">
                  <c:v>542.73800000000006</c:v>
                </c:pt>
                <c:pt idx="3">
                  <c:v>11097.309400466247</c:v>
                </c:pt>
                <c:pt idx="4">
                  <c:v>6629.6223142695744</c:v>
                </c:pt>
                <c:pt idx="5">
                  <c:v>120164.38018788576</c:v>
                </c:pt>
                <c:pt idx="6">
                  <c:v>682.61943254056973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107276.20696641319</c:v>
                </c:pt>
                <c:pt idx="1">
                  <c:v>23285.551167654328</c:v>
                </c:pt>
                <c:pt idx="2">
                  <c:v>542.73800000000006</c:v>
                </c:pt>
                <c:pt idx="3">
                  <c:v>11097.309400466247</c:v>
                </c:pt>
                <c:pt idx="4">
                  <c:v>6629.6223142695744</c:v>
                </c:pt>
                <c:pt idx="5">
                  <c:v>120164.38018788576</c:v>
                </c:pt>
                <c:pt idx="6">
                  <c:v>682.61943254056973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17351.892178781403</c:v>
                </c:pt>
                <c:pt idx="1">
                  <c:v>4493.9144942639386</c:v>
                </c:pt>
                <c:pt idx="2">
                  <c:v>103.04786618280269</c:v>
                </c:pt>
                <c:pt idx="3">
                  <c:v>2745.8583082478895</c:v>
                </c:pt>
                <c:pt idx="4">
                  <c:v>1253.5439209580454</c:v>
                </c:pt>
                <c:pt idx="5">
                  <c:v>30801.452698106415</c:v>
                </c:pt>
                <c:pt idx="6">
                  <c:v>176.77618665869772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17351.892178781403</c:v>
                </c:pt>
                <c:pt idx="1">
                  <c:v>4493.9144942639386</c:v>
                </c:pt>
                <c:pt idx="2">
                  <c:v>103.04786618280269</c:v>
                </c:pt>
                <c:pt idx="3">
                  <c:v>2745.8583082478895</c:v>
                </c:pt>
                <c:pt idx="4">
                  <c:v>1253.5439209580454</c:v>
                </c:pt>
                <c:pt idx="5">
                  <c:v>30801.452698106415</c:v>
                </c:pt>
                <c:pt idx="6">
                  <c:v>176.77618665869772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4413</v>
      </c>
      <c r="C9" s="342">
        <v>4868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2763.27</v>
      </c>
    </row>
    <row r="15" spans="1:6">
      <c r="A15" s="348" t="s">
        <v>184</v>
      </c>
      <c r="B15" s="334">
        <v>11458</v>
      </c>
    </row>
    <row r="16" spans="1:6">
      <c r="A16" s="348" t="s">
        <v>6</v>
      </c>
      <c r="B16" s="334">
        <v>1837</v>
      </c>
    </row>
    <row r="17" spans="1:6">
      <c r="A17" s="348" t="s">
        <v>7</v>
      </c>
      <c r="B17" s="334">
        <v>246</v>
      </c>
    </row>
    <row r="18" spans="1:6">
      <c r="A18" s="348" t="s">
        <v>8</v>
      </c>
      <c r="B18" s="334">
        <v>1002</v>
      </c>
    </row>
    <row r="19" spans="1:6">
      <c r="A19" s="348" t="s">
        <v>9</v>
      </c>
      <c r="B19" s="334">
        <v>902</v>
      </c>
    </row>
    <row r="20" spans="1:6">
      <c r="A20" s="348" t="s">
        <v>10</v>
      </c>
      <c r="B20" s="334">
        <v>427</v>
      </c>
    </row>
    <row r="21" spans="1:6">
      <c r="A21" s="348" t="s">
        <v>11</v>
      </c>
      <c r="B21" s="334">
        <v>6364</v>
      </c>
    </row>
    <row r="22" spans="1:6">
      <c r="A22" s="348" t="s">
        <v>12</v>
      </c>
      <c r="B22" s="334">
        <v>15098</v>
      </c>
    </row>
    <row r="23" spans="1:6">
      <c r="A23" s="348" t="s">
        <v>13</v>
      </c>
      <c r="B23" s="334">
        <v>237</v>
      </c>
    </row>
    <row r="24" spans="1:6">
      <c r="A24" s="348" t="s">
        <v>14</v>
      </c>
      <c r="B24" s="334">
        <v>16</v>
      </c>
    </row>
    <row r="25" spans="1:6">
      <c r="A25" s="348" t="s">
        <v>15</v>
      </c>
      <c r="B25" s="334">
        <v>1739</v>
      </c>
    </row>
    <row r="26" spans="1:6">
      <c r="A26" s="348" t="s">
        <v>16</v>
      </c>
      <c r="B26" s="334">
        <v>443</v>
      </c>
    </row>
    <row r="27" spans="1:6">
      <c r="A27" s="348" t="s">
        <v>17</v>
      </c>
      <c r="B27" s="334">
        <v>1480</v>
      </c>
    </row>
    <row r="28" spans="1:6" s="356" customFormat="1">
      <c r="A28" s="355" t="s">
        <v>18</v>
      </c>
      <c r="B28" s="355">
        <v>50482</v>
      </c>
    </row>
    <row r="29" spans="1:6">
      <c r="A29" s="355" t="s">
        <v>812</v>
      </c>
      <c r="B29" s="355">
        <v>137</v>
      </c>
      <c r="C29" s="356"/>
      <c r="D29" s="356"/>
      <c r="E29" s="356"/>
      <c r="F29" s="356"/>
    </row>
    <row r="30" spans="1:6">
      <c r="A30" s="355" t="s">
        <v>813</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10667.441548000001</v>
      </c>
    </row>
    <row r="39" spans="1:6">
      <c r="A39" s="348" t="s">
        <v>30</v>
      </c>
      <c r="B39" s="348" t="s">
        <v>31</v>
      </c>
      <c r="C39" s="334">
        <v>2716</v>
      </c>
      <c r="D39" s="334">
        <v>47238538.821999997</v>
      </c>
      <c r="E39" s="334">
        <v>4341</v>
      </c>
      <c r="F39" s="334">
        <v>15681836.130999999</v>
      </c>
    </row>
    <row r="40" spans="1:6">
      <c r="A40" s="348" t="s">
        <v>30</v>
      </c>
      <c r="B40" s="348" t="s">
        <v>29</v>
      </c>
      <c r="C40" s="334">
        <v>0</v>
      </c>
      <c r="D40" s="334">
        <v>0</v>
      </c>
      <c r="E40" s="334">
        <v>0</v>
      </c>
      <c r="F40" s="334">
        <v>0</v>
      </c>
    </row>
    <row r="41" spans="1:6">
      <c r="A41" s="348" t="s">
        <v>32</v>
      </c>
      <c r="B41" s="348" t="s">
        <v>33</v>
      </c>
      <c r="C41" s="334">
        <v>31</v>
      </c>
      <c r="D41" s="334">
        <v>836845.76278999995</v>
      </c>
      <c r="E41" s="334">
        <v>81</v>
      </c>
      <c r="F41" s="334">
        <v>968275.90242000006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70591.407621999999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616381.25994999998</v>
      </c>
      <c r="E48" s="334">
        <v>22</v>
      </c>
      <c r="F48" s="334">
        <v>1308123.1868</v>
      </c>
    </row>
    <row r="49" spans="1:6">
      <c r="A49" s="348" t="s">
        <v>32</v>
      </c>
      <c r="B49" s="348" t="s">
        <v>40</v>
      </c>
      <c r="C49" s="334">
        <v>0</v>
      </c>
      <c r="D49" s="334">
        <v>0</v>
      </c>
      <c r="E49" s="334">
        <v>0</v>
      </c>
      <c r="F49" s="334">
        <v>0</v>
      </c>
    </row>
    <row r="50" spans="1:6">
      <c r="A50" s="348" t="s">
        <v>32</v>
      </c>
      <c r="B50" s="348" t="s">
        <v>41</v>
      </c>
      <c r="C50" s="334">
        <v>4</v>
      </c>
      <c r="D50" s="334">
        <v>364610.21249000001</v>
      </c>
      <c r="E50" s="334">
        <v>5</v>
      </c>
      <c r="F50" s="334">
        <v>364169.55719000002</v>
      </c>
    </row>
    <row r="51" spans="1:6">
      <c r="A51" s="348" t="s">
        <v>42</v>
      </c>
      <c r="B51" s="348" t="s">
        <v>43</v>
      </c>
      <c r="C51" s="334">
        <v>0</v>
      </c>
      <c r="D51" s="334">
        <v>0</v>
      </c>
      <c r="E51" s="334">
        <v>98</v>
      </c>
      <c r="F51" s="334">
        <v>1864366.0802</v>
      </c>
    </row>
    <row r="52" spans="1:6">
      <c r="A52" s="348" t="s">
        <v>42</v>
      </c>
      <c r="B52" s="348" t="s">
        <v>29</v>
      </c>
      <c r="C52" s="334">
        <v>8</v>
      </c>
      <c r="D52" s="334">
        <v>262571.27217000001</v>
      </c>
      <c r="E52" s="334">
        <v>14</v>
      </c>
      <c r="F52" s="334">
        <v>168860.44974000001</v>
      </c>
    </row>
    <row r="53" spans="1:6">
      <c r="A53" s="348" t="s">
        <v>44</v>
      </c>
      <c r="B53" s="348" t="s">
        <v>45</v>
      </c>
      <c r="C53" s="334">
        <v>53</v>
      </c>
      <c r="D53" s="334">
        <v>1164384.1205</v>
      </c>
      <c r="E53" s="334">
        <v>147</v>
      </c>
      <c r="F53" s="334">
        <v>557205.14315000002</v>
      </c>
    </row>
    <row r="54" spans="1:6">
      <c r="A54" s="348" t="s">
        <v>46</v>
      </c>
      <c r="B54" s="348" t="s">
        <v>47</v>
      </c>
      <c r="C54" s="334">
        <v>0</v>
      </c>
      <c r="D54" s="334">
        <v>0</v>
      </c>
      <c r="E54" s="334">
        <v>1</v>
      </c>
      <c r="F54" s="334">
        <v>542738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1879809.5900999999</v>
      </c>
      <c r="E57" s="334">
        <v>79</v>
      </c>
      <c r="F57" s="334">
        <v>1389904.0199</v>
      </c>
    </row>
    <row r="58" spans="1:6">
      <c r="A58" s="348" t="s">
        <v>49</v>
      </c>
      <c r="B58" s="348" t="s">
        <v>51</v>
      </c>
      <c r="C58" s="334">
        <v>12</v>
      </c>
      <c r="D58" s="334">
        <v>450060.81206999999</v>
      </c>
      <c r="E58" s="334">
        <v>21</v>
      </c>
      <c r="F58" s="334">
        <v>179709.78524</v>
      </c>
    </row>
    <row r="59" spans="1:6">
      <c r="A59" s="348" t="s">
        <v>49</v>
      </c>
      <c r="B59" s="348" t="s">
        <v>52</v>
      </c>
      <c r="C59" s="334">
        <v>26</v>
      </c>
      <c r="D59" s="334">
        <v>968925.01517000003</v>
      </c>
      <c r="E59" s="334">
        <v>87</v>
      </c>
      <c r="F59" s="334">
        <v>2420406.0452999999</v>
      </c>
    </row>
    <row r="60" spans="1:6">
      <c r="A60" s="348" t="s">
        <v>49</v>
      </c>
      <c r="B60" s="348" t="s">
        <v>53</v>
      </c>
      <c r="C60" s="334">
        <v>41</v>
      </c>
      <c r="D60" s="334">
        <v>2190810.3336</v>
      </c>
      <c r="E60" s="334">
        <v>56</v>
      </c>
      <c r="F60" s="334">
        <v>1781128.5821</v>
      </c>
    </row>
    <row r="61" spans="1:6">
      <c r="A61" s="348" t="s">
        <v>49</v>
      </c>
      <c r="B61" s="348" t="s">
        <v>54</v>
      </c>
      <c r="C61" s="334">
        <v>79</v>
      </c>
      <c r="D61" s="334">
        <v>1715122.1793</v>
      </c>
      <c r="E61" s="334">
        <v>117</v>
      </c>
      <c r="F61" s="334">
        <v>1061507.6236</v>
      </c>
    </row>
    <row r="62" spans="1:6">
      <c r="A62" s="348" t="s">
        <v>49</v>
      </c>
      <c r="B62" s="348" t="s">
        <v>55</v>
      </c>
      <c r="C62" s="334">
        <v>5</v>
      </c>
      <c r="D62" s="334">
        <v>528978.89358999999</v>
      </c>
      <c r="E62" s="334">
        <v>5</v>
      </c>
      <c r="F62" s="334">
        <v>57698.917856</v>
      </c>
    </row>
    <row r="63" spans="1:6">
      <c r="A63" s="348" t="s">
        <v>49</v>
      </c>
      <c r="B63" s="348" t="s">
        <v>29</v>
      </c>
      <c r="C63" s="334">
        <v>89</v>
      </c>
      <c r="D63" s="334">
        <v>4498778.9179999996</v>
      </c>
      <c r="E63" s="334">
        <v>90</v>
      </c>
      <c r="F63" s="334">
        <v>1598857.7322</v>
      </c>
    </row>
    <row r="64" spans="1:6">
      <c r="A64" s="348" t="s">
        <v>56</v>
      </c>
      <c r="B64" s="348" t="s">
        <v>57</v>
      </c>
      <c r="C64" s="334">
        <v>0</v>
      </c>
      <c r="D64" s="334">
        <v>0</v>
      </c>
      <c r="E64" s="334">
        <v>0</v>
      </c>
      <c r="F64" s="334">
        <v>0</v>
      </c>
    </row>
    <row r="65" spans="1:6">
      <c r="A65" s="348" t="s">
        <v>56</v>
      </c>
      <c r="B65" s="348" t="s">
        <v>29</v>
      </c>
      <c r="C65" s="334">
        <v>1</v>
      </c>
      <c r="D65" s="334">
        <v>19181.176246999999</v>
      </c>
      <c r="E65" s="334">
        <v>0</v>
      </c>
      <c r="F65" s="334">
        <v>0</v>
      </c>
    </row>
    <row r="66" spans="1:6">
      <c r="A66" s="348" t="s">
        <v>56</v>
      </c>
      <c r="B66" s="348" t="s">
        <v>58</v>
      </c>
      <c r="C66" s="334">
        <v>0</v>
      </c>
      <c r="D66" s="334">
        <v>0</v>
      </c>
      <c r="E66" s="334">
        <v>9</v>
      </c>
      <c r="F66" s="334">
        <v>25908.253535</v>
      </c>
    </row>
    <row r="67" spans="1:6">
      <c r="A67" s="355" t="s">
        <v>56</v>
      </c>
      <c r="B67" s="355" t="s">
        <v>59</v>
      </c>
      <c r="C67" s="334">
        <v>0</v>
      </c>
      <c r="D67" s="334">
        <v>0</v>
      </c>
      <c r="E67" s="334">
        <v>0</v>
      </c>
      <c r="F67" s="334">
        <v>0</v>
      </c>
    </row>
    <row r="68" spans="1:6">
      <c r="A68" s="341" t="s">
        <v>56</v>
      </c>
      <c r="B68" s="341" t="s">
        <v>60</v>
      </c>
      <c r="C68" s="334">
        <v>0</v>
      </c>
      <c r="D68" s="334">
        <v>0</v>
      </c>
      <c r="E68" s="334">
        <v>4</v>
      </c>
      <c r="F68" s="334">
        <v>50314.306825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77985401</v>
      </c>
      <c r="E73" s="476">
        <v>80146329.03526558</v>
      </c>
    </row>
    <row r="74" spans="1:6">
      <c r="A74" s="348" t="s">
        <v>64</v>
      </c>
      <c r="B74" s="348" t="s">
        <v>667</v>
      </c>
      <c r="C74" s="1212" t="s">
        <v>669</v>
      </c>
      <c r="D74" s="476">
        <v>6332095.8633151725</v>
      </c>
      <c r="E74" s="476">
        <v>6495786.3974070763</v>
      </c>
    </row>
    <row r="75" spans="1:6">
      <c r="A75" s="348" t="s">
        <v>65</v>
      </c>
      <c r="B75" s="348" t="s">
        <v>666</v>
      </c>
      <c r="C75" s="1212" t="s">
        <v>670</v>
      </c>
      <c r="D75" s="476">
        <v>14462739</v>
      </c>
      <c r="E75" s="476">
        <v>14863488.482616855</v>
      </c>
    </row>
    <row r="76" spans="1:6">
      <c r="A76" s="348" t="s">
        <v>65</v>
      </c>
      <c r="B76" s="348" t="s">
        <v>667</v>
      </c>
      <c r="C76" s="1212" t="s">
        <v>671</v>
      </c>
      <c r="D76" s="476">
        <v>512193.86331517267</v>
      </c>
      <c r="E76" s="476">
        <v>527496.1509162134</v>
      </c>
    </row>
    <row r="77" spans="1:6">
      <c r="A77" s="348" t="s">
        <v>66</v>
      </c>
      <c r="B77" s="348" t="s">
        <v>666</v>
      </c>
      <c r="C77" s="1212" t="s">
        <v>672</v>
      </c>
      <c r="D77" s="476">
        <v>25192836</v>
      </c>
      <c r="E77" s="476">
        <v>27018079.524835251</v>
      </c>
    </row>
    <row r="78" spans="1:6">
      <c r="A78" s="341" t="s">
        <v>66</v>
      </c>
      <c r="B78" s="341" t="s">
        <v>667</v>
      </c>
      <c r="C78" s="341" t="s">
        <v>673</v>
      </c>
      <c r="D78" s="1213">
        <v>9723708</v>
      </c>
      <c r="E78" s="1213">
        <v>10238661.071003854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183342.27336965463</v>
      </c>
      <c r="C83" s="476">
        <v>183342.27336965463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4017.0691326704568</v>
      </c>
    </row>
    <row r="92" spans="1:6">
      <c r="A92" s="341" t="s">
        <v>69</v>
      </c>
      <c r="B92" s="342">
        <v>702.62976463712062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5</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33502.809980501719</v>
      </c>
      <c r="C3" s="43" t="s">
        <v>170</v>
      </c>
      <c r="D3" s="43"/>
      <c r="E3" s="154"/>
      <c r="F3" s="43"/>
      <c r="G3" s="43"/>
      <c r="H3" s="43"/>
      <c r="I3" s="43"/>
      <c r="J3" s="43"/>
      <c r="K3" s="96"/>
    </row>
    <row r="4" spans="1:11">
      <c r="A4" s="383" t="s">
        <v>171</v>
      </c>
      <c r="B4" s="49">
        <f>IF(ISERROR('SEAP template'!B69),0,'SEAP template'!B69)</f>
        <v>4719.6988973075777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0.18986668739392246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542.73800000000006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542.73800000000006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0.18986668739392246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103.04786618280269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15681.836131</v>
      </c>
      <c r="C5" s="17">
        <f>IF(ISERROR('Eigen informatie GS &amp; warmtenet'!B57),0,'Eigen informatie GS &amp; warmtenet'!B57)</f>
        <v>0</v>
      </c>
      <c r="D5" s="30">
        <f>(SUM(HH_hh_gas_kWh,HH_rest_gas_kWh)/1000)*0.902</f>
        <v>42609.162017443996</v>
      </c>
      <c r="E5" s="17">
        <f>B46*B57</f>
        <v>2076.5433612685015</v>
      </c>
      <c r="F5" s="17">
        <f>B51*B62</f>
        <v>16978.652511423039</v>
      </c>
      <c r="G5" s="18"/>
      <c r="H5" s="17"/>
      <c r="I5" s="17"/>
      <c r="J5" s="17">
        <f>B50*B61+C50*C61</f>
        <v>0</v>
      </c>
      <c r="K5" s="17"/>
      <c r="L5" s="17"/>
      <c r="M5" s="17"/>
      <c r="N5" s="17">
        <f>B48*B59+C48*C59</f>
        <v>24463.787145940525</v>
      </c>
      <c r="O5" s="17">
        <f>B69*B70*B71</f>
        <v>286.09000000000003</v>
      </c>
      <c r="P5" s="17">
        <f>B77*B78*B79/1000-B77*B78*B79/1000/B80</f>
        <v>1163.0666666666666</v>
      </c>
    </row>
    <row r="6" spans="1:16">
      <c r="A6" s="16" t="s">
        <v>624</v>
      </c>
      <c r="B6" s="843">
        <f>kWh_PV_kleiner_dan_10kW</f>
        <v>4017.0691326704568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19698.905263670458</v>
      </c>
      <c r="C8" s="21">
        <f>C5</f>
        <v>0</v>
      </c>
      <c r="D8" s="21">
        <f>D5</f>
        <v>42609.162017443996</v>
      </c>
      <c r="E8" s="21">
        <f>E5</f>
        <v>2076.5433612685015</v>
      </c>
      <c r="F8" s="21">
        <f>F5</f>
        <v>16978.652511423039</v>
      </c>
      <c r="G8" s="21"/>
      <c r="H8" s="21"/>
      <c r="I8" s="21"/>
      <c r="J8" s="21">
        <f>J5</f>
        <v>0</v>
      </c>
      <c r="K8" s="21"/>
      <c r="L8" s="21">
        <f>L5</f>
        <v>0</v>
      </c>
      <c r="M8" s="21">
        <f>M5</f>
        <v>0</v>
      </c>
      <c r="N8" s="21">
        <f>N5</f>
        <v>24463.787145940525</v>
      </c>
      <c r="O8" s="21">
        <f>O5</f>
        <v>286.09000000000003</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0.18986668739392246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3740.1658876998126</v>
      </c>
      <c r="C12" s="23">
        <f ca="1">C10*C8</f>
        <v>0</v>
      </c>
      <c r="D12" s="23">
        <f>D8*D10</f>
        <v>8607.0507275236869</v>
      </c>
      <c r="E12" s="23">
        <f>E10*E8</f>
        <v>471.37534300794988</v>
      </c>
      <c r="F12" s="23">
        <f>F10*F8</f>
        <v>4533.3002205499515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4413</v>
      </c>
      <c r="C28" s="36"/>
      <c r="D28" s="228"/>
    </row>
    <row r="29" spans="1:7" s="15" customFormat="1">
      <c r="A29" s="230" t="s">
        <v>699</v>
      </c>
      <c r="B29" s="37">
        <f>SUM(HH_hh_gas_aantal,HH_rest_gas_aantal)</f>
        <v>2716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2716</v>
      </c>
      <c r="C32" s="167">
        <f>IF(ISERROR(B32/SUM($B$32,$B$34,$B$35,$B$36,$B$38,$B$39)*100),0,B32/SUM($B$32,$B$34,$B$35,$B$36,$B$38,$B$39)*100)</f>
        <v>62.408088235294116</v>
      </c>
      <c r="D32" s="233"/>
      <c r="G32" s="15"/>
    </row>
    <row r="33" spans="1:7">
      <c r="A33" s="171" t="s">
        <v>72</v>
      </c>
      <c r="B33" s="34" t="s">
        <v>111</v>
      </c>
      <c r="C33" s="167"/>
      <c r="D33" s="233"/>
      <c r="G33" s="15"/>
    </row>
    <row r="34" spans="1:7">
      <c r="A34" s="171" t="s">
        <v>73</v>
      </c>
      <c r="B34" s="33">
        <f>IF((($B$28-$B$32-$B$39-$B$77-$B$38)*C20/100)&lt;0,0,($B$28-$B$32-$B$39-$B$77-$B$38)*C20/100)</f>
        <v>91.809782608695656</v>
      </c>
      <c r="C34" s="167">
        <f>IF(ISERROR(B34/SUM($B$32,$B$34,$B$35,$B$36,$B$38,$B$39)*100),0,B34/SUM($B$32,$B$34,$B$35,$B$36,$B$38,$B$39)*100)</f>
        <v>2.1095997842071612</v>
      </c>
      <c r="D34" s="233"/>
      <c r="G34" s="15"/>
    </row>
    <row r="35" spans="1:7">
      <c r="A35" s="171" t="s">
        <v>74</v>
      </c>
      <c r="B35" s="33">
        <f>IF((($B$28-$B$32-$B$39-$B$77-$B$38)*C21/100)&lt;0,0,($B$28-$B$32-$B$39-$B$77-$B$38)*C21/100)</f>
        <v>465.84963768115944</v>
      </c>
      <c r="C35" s="167">
        <f>IF(ISERROR(B35/SUM($B$32,$B$34,$B$35,$B$36,$B$38,$B$39)*100),0,B35/SUM($B$32,$B$34,$B$35,$B$36,$B$38,$B$39)*100)</f>
        <v>10.704265571717817</v>
      </c>
      <c r="D35" s="233"/>
      <c r="G35" s="15"/>
    </row>
    <row r="36" spans="1:7">
      <c r="A36" s="171" t="s">
        <v>75</v>
      </c>
      <c r="B36" s="33">
        <f>IF((($B$28-$B$32-$B$39-$B$77-$B$38)*C22/100)&lt;0,0,($B$28-$B$32-$B$39-$B$77-$B$38)*C22/100)</f>
        <v>380.84057971014494</v>
      </c>
      <c r="C36" s="167">
        <f>IF(ISERROR(B36/SUM($B$32,$B$34,$B$35,$B$36,$B$38,$B$39)*100),0,B36/SUM($B$32,$B$34,$B$35,$B$36,$B$38,$B$39)*100)</f>
        <v>8.7509324381926685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697.5</v>
      </c>
      <c r="C39" s="167">
        <f>IF(ISERROR(B39/SUM($B$32,$B$34,$B$35,$B$36,$B$38,$B$39)*100),0,B39/SUM($B$32,$B$34,$B$35,$B$36,$B$38,$B$39)*100)</f>
        <v>16.027113970588236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2716</v>
      </c>
      <c r="C44" s="34" t="s">
        <v>111</v>
      </c>
      <c r="D44" s="174"/>
    </row>
    <row r="45" spans="1:7">
      <c r="A45" s="171" t="s">
        <v>72</v>
      </c>
      <c r="B45" s="33" t="str">
        <f t="shared" si="0"/>
        <v>-</v>
      </c>
      <c r="C45" s="34" t="s">
        <v>111</v>
      </c>
      <c r="D45" s="174"/>
    </row>
    <row r="46" spans="1:7">
      <c r="A46" s="171" t="s">
        <v>73</v>
      </c>
      <c r="B46" s="33">
        <f t="shared" si="0"/>
        <v>91.809782608695656</v>
      </c>
      <c r="C46" s="34" t="s">
        <v>111</v>
      </c>
      <c r="D46" s="174"/>
    </row>
    <row r="47" spans="1:7">
      <c r="A47" s="171" t="s">
        <v>74</v>
      </c>
      <c r="B47" s="33">
        <f t="shared" si="0"/>
        <v>465.84963768115944</v>
      </c>
      <c r="C47" s="34" t="s">
        <v>111</v>
      </c>
      <c r="D47" s="174"/>
    </row>
    <row r="48" spans="1:7">
      <c r="A48" s="171" t="s">
        <v>75</v>
      </c>
      <c r="B48" s="33">
        <f t="shared" si="0"/>
        <v>380.84057971014494</v>
      </c>
      <c r="C48" s="33">
        <f>B48*10</f>
        <v>3808.4057971014495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697.5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8489.2127061959982</v>
      </c>
      <c r="C5" s="17">
        <f>IF(ISERROR('Eigen informatie GS &amp; warmtenet'!B58),0,'Eigen informatie GS &amp; warmtenet'!B58)</f>
        <v>0</v>
      </c>
      <c r="D5" s="30">
        <f>SUM(D6:D12)</f>
        <v>11033.702139130659</v>
      </c>
      <c r="E5" s="17">
        <f>SUM(E6:E12)</f>
        <v>179.59769401555505</v>
      </c>
      <c r="F5" s="17">
        <f>SUM(F6:F12)</f>
        <v>2294.0797397385186</v>
      </c>
      <c r="G5" s="18"/>
      <c r="H5" s="17"/>
      <c r="I5" s="17"/>
      <c r="J5" s="17">
        <f>SUM(J6:J12)</f>
        <v>0</v>
      </c>
      <c r="K5" s="17"/>
      <c r="L5" s="17"/>
      <c r="M5" s="17"/>
      <c r="N5" s="17">
        <f>SUM(N6:N12)</f>
        <v>1243.0088885735981</v>
      </c>
      <c r="O5" s="17">
        <f>B38*B39*B40</f>
        <v>7.8166666666666664</v>
      </c>
      <c r="P5" s="17">
        <f>B46*B47*B48/1000-B46*B47*B48/1000/B49</f>
        <v>38.133333333333333</v>
      </c>
      <c r="R5" s="32"/>
    </row>
    <row r="6" spans="1:18">
      <c r="A6" s="32" t="s">
        <v>54</v>
      </c>
      <c r="B6" s="37">
        <f>B26</f>
        <v>1061.5076236</v>
      </c>
      <c r="C6" s="33"/>
      <c r="D6" s="37">
        <f>IF(ISERROR(TER_kantoor_gas_kWh/1000),0,TER_kantoor_gas_kWh/1000)*0.902</f>
        <v>1547.0402057286001</v>
      </c>
      <c r="E6" s="33">
        <f>$C$26*'E Balans VL '!I12/100/3.6*1000000</f>
        <v>13.896442380710784</v>
      </c>
      <c r="F6" s="33">
        <f>$C$26*('E Balans VL '!L12+'E Balans VL '!N12)/100/3.6*1000000</f>
        <v>270.6734748079715</v>
      </c>
      <c r="G6" s="34"/>
      <c r="H6" s="33"/>
      <c r="I6" s="33"/>
      <c r="J6" s="33">
        <f>$C$26*('E Balans VL '!D12+'E Balans VL '!E12)/100/3.6*1000000</f>
        <v>0</v>
      </c>
      <c r="K6" s="33"/>
      <c r="L6" s="33"/>
      <c r="M6" s="33"/>
      <c r="N6" s="33">
        <f>$C$26*'E Balans VL '!Y12/100/3.6*1000000</f>
        <v>1.0650821936651425</v>
      </c>
      <c r="O6" s="33"/>
      <c r="P6" s="33"/>
      <c r="R6" s="32"/>
    </row>
    <row r="7" spans="1:18">
      <c r="A7" s="32" t="s">
        <v>53</v>
      </c>
      <c r="B7" s="37">
        <f t="shared" ref="B7:B12" si="0">B27</f>
        <v>1781.1285820999999</v>
      </c>
      <c r="C7" s="33"/>
      <c r="D7" s="37">
        <f>IF(ISERROR(TER_horeca_gas_kWh/1000),0,TER_horeca_gas_kWh/1000)*0.902</f>
        <v>1976.1109209071999</v>
      </c>
      <c r="E7" s="33">
        <f>$C$27*'E Balans VL '!I9/100/3.6*1000000</f>
        <v>58.94452182578992</v>
      </c>
      <c r="F7" s="33">
        <f>$C$27*('E Balans VL '!L9+'E Balans VL '!N9)/100/3.6*1000000</f>
        <v>765.87846419143841</v>
      </c>
      <c r="G7" s="34"/>
      <c r="H7" s="33"/>
      <c r="I7" s="33"/>
      <c r="J7" s="33">
        <f>$C$27*('E Balans VL '!D9+'E Balans VL '!E9)/100/3.6*1000000</f>
        <v>0</v>
      </c>
      <c r="K7" s="33"/>
      <c r="L7" s="33"/>
      <c r="M7" s="33"/>
      <c r="N7" s="33">
        <f>$C$27*'E Balans VL '!Y9/100/3.6*1000000</f>
        <v>0.42874351453691084</v>
      </c>
      <c r="O7" s="33"/>
      <c r="P7" s="33"/>
      <c r="R7" s="32"/>
    </row>
    <row r="8" spans="1:18">
      <c r="A8" s="6" t="s">
        <v>52</v>
      </c>
      <c r="B8" s="37">
        <f t="shared" si="0"/>
        <v>2420.4060452999997</v>
      </c>
      <c r="C8" s="33"/>
      <c r="D8" s="37">
        <f>IF(ISERROR(TER_handel_gas_kWh/1000),0,TER_handel_gas_kWh/1000)*0.902</f>
        <v>873.97036368334011</v>
      </c>
      <c r="E8" s="33">
        <f>$C$28*'E Balans VL '!I13/100/3.6*1000000</f>
        <v>76.391713060020322</v>
      </c>
      <c r="F8" s="33">
        <f>$C$28*('E Balans VL '!L13+'E Balans VL '!N13)/100/3.6*1000000</f>
        <v>474.68424618765971</v>
      </c>
      <c r="G8" s="34"/>
      <c r="H8" s="33"/>
      <c r="I8" s="33"/>
      <c r="J8" s="33">
        <f>$C$28*('E Balans VL '!D13+'E Balans VL '!E13)/100/3.6*1000000</f>
        <v>0</v>
      </c>
      <c r="K8" s="33"/>
      <c r="L8" s="33"/>
      <c r="M8" s="33"/>
      <c r="N8" s="33">
        <f>$C$28*'E Balans VL '!Y13/100/3.6*1000000</f>
        <v>2.8725520597063134</v>
      </c>
      <c r="O8" s="33"/>
      <c r="P8" s="33"/>
      <c r="R8" s="32"/>
    </row>
    <row r="9" spans="1:18">
      <c r="A9" s="32" t="s">
        <v>51</v>
      </c>
      <c r="B9" s="37">
        <f t="shared" si="0"/>
        <v>179.70978524</v>
      </c>
      <c r="C9" s="33"/>
      <c r="D9" s="37">
        <f>IF(ISERROR(TER_gezond_gas_kWh/1000),0,TER_gezond_gas_kWh/1000)*0.902</f>
        <v>405.95485248713999</v>
      </c>
      <c r="E9" s="33">
        <f>$C$29*'E Balans VL '!I10/100/3.6*1000000</f>
        <v>2.3008109803837714E-2</v>
      </c>
      <c r="F9" s="33">
        <f>$C$29*('E Balans VL '!L10+'E Balans VL '!N10)/100/3.6*1000000</f>
        <v>37.441080592879366</v>
      </c>
      <c r="G9" s="34"/>
      <c r="H9" s="33"/>
      <c r="I9" s="33"/>
      <c r="J9" s="33">
        <f>$C$29*('E Balans VL '!D10+'E Balans VL '!E10)/100/3.6*1000000</f>
        <v>0</v>
      </c>
      <c r="K9" s="33"/>
      <c r="L9" s="33"/>
      <c r="M9" s="33"/>
      <c r="N9" s="33">
        <f>$C$29*'E Balans VL '!Y10/100/3.6*1000000</f>
        <v>2.1107763696552762</v>
      </c>
      <c r="O9" s="33"/>
      <c r="P9" s="33"/>
      <c r="R9" s="32"/>
    </row>
    <row r="10" spans="1:18">
      <c r="A10" s="32" t="s">
        <v>50</v>
      </c>
      <c r="B10" s="37">
        <f t="shared" si="0"/>
        <v>1389.9040198999999</v>
      </c>
      <c r="C10" s="33"/>
      <c r="D10" s="37">
        <f>IF(ISERROR(TER_ander_gas_kWh/1000),0,TER_ander_gas_kWh/1000)*0.902</f>
        <v>1695.5882502702</v>
      </c>
      <c r="E10" s="33">
        <f>$C$30*'E Balans VL '!I14/100/3.6*1000000</f>
        <v>2.0900887883336066</v>
      </c>
      <c r="F10" s="33">
        <f>$C$30*('E Balans VL '!L14+'E Balans VL '!N14)/100/3.6*1000000</f>
        <v>306.84600459798713</v>
      </c>
      <c r="G10" s="34"/>
      <c r="H10" s="33"/>
      <c r="I10" s="33"/>
      <c r="J10" s="33">
        <f>$C$30*('E Balans VL '!D14+'E Balans VL '!E14)/100/3.6*1000000</f>
        <v>0</v>
      </c>
      <c r="K10" s="33"/>
      <c r="L10" s="33"/>
      <c r="M10" s="33"/>
      <c r="N10" s="33">
        <f>$C$30*'E Balans VL '!Y14/100/3.6*1000000</f>
        <v>1095.3379046950427</v>
      </c>
      <c r="O10" s="33"/>
      <c r="P10" s="33"/>
      <c r="R10" s="32"/>
    </row>
    <row r="11" spans="1:18">
      <c r="A11" s="32" t="s">
        <v>55</v>
      </c>
      <c r="B11" s="37">
        <f t="shared" si="0"/>
        <v>57.698917856000001</v>
      </c>
      <c r="C11" s="33"/>
      <c r="D11" s="37">
        <f>IF(ISERROR(TER_onderwijs_gas_kWh/1000),0,TER_onderwijs_gas_kWh/1000)*0.902</f>
        <v>477.13896201818</v>
      </c>
      <c r="E11" s="33">
        <f>$C$31*'E Balans VL '!I11/100/3.6*1000000</f>
        <v>0.10161262949701895</v>
      </c>
      <c r="F11" s="33">
        <f>$C$31*('E Balans VL '!L11+'E Balans VL '!N11)/100/3.6*1000000</f>
        <v>26.640634434307003</v>
      </c>
      <c r="G11" s="34"/>
      <c r="H11" s="33"/>
      <c r="I11" s="33"/>
      <c r="J11" s="33">
        <f>$C$31*('E Balans VL '!D11+'E Balans VL '!E11)/100/3.6*1000000</f>
        <v>0</v>
      </c>
      <c r="K11" s="33"/>
      <c r="L11" s="33"/>
      <c r="M11" s="33"/>
      <c r="N11" s="33">
        <f>$C$31*'E Balans VL '!Y11/100/3.6*1000000</f>
        <v>0.10749388187129488</v>
      </c>
      <c r="O11" s="33"/>
      <c r="P11" s="33"/>
      <c r="R11" s="32"/>
    </row>
    <row r="12" spans="1:18">
      <c r="A12" s="32" t="s">
        <v>260</v>
      </c>
      <c r="B12" s="37">
        <f t="shared" si="0"/>
        <v>1598.8577321999999</v>
      </c>
      <c r="C12" s="33"/>
      <c r="D12" s="37">
        <f>IF(ISERROR(TER_rest_gas_kWh/1000),0,TER_rest_gas_kWh/1000)*0.902</f>
        <v>4057.8985840360001</v>
      </c>
      <c r="E12" s="33">
        <f>$C$32*'E Balans VL '!I8/100/3.6*1000000</f>
        <v>28.150307221399533</v>
      </c>
      <c r="F12" s="33">
        <f>$C$32*('E Balans VL '!L8+'E Balans VL '!N8)/100/3.6*1000000</f>
        <v>411.91583492627529</v>
      </c>
      <c r="G12" s="34"/>
      <c r="H12" s="33"/>
      <c r="I12" s="33"/>
      <c r="J12" s="33">
        <f>$C$32*('E Balans VL '!D8+'E Balans VL '!E8)/100/3.6*1000000</f>
        <v>0</v>
      </c>
      <c r="K12" s="33"/>
      <c r="L12" s="33"/>
      <c r="M12" s="33"/>
      <c r="N12" s="33">
        <f>$C$32*'E Balans VL '!Y8/100/3.6*1000000</f>
        <v>141.08633585912037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8489.2127061959982</v>
      </c>
      <c r="C16" s="21">
        <f t="shared" ca="1" si="1"/>
        <v>0</v>
      </c>
      <c r="D16" s="21">
        <f t="shared" ca="1" si="1"/>
        <v>11033.702139130659</v>
      </c>
      <c r="E16" s="21">
        <f t="shared" si="1"/>
        <v>179.59769401555505</v>
      </c>
      <c r="F16" s="21">
        <f t="shared" ca="1" si="1"/>
        <v>2294.0797397385186</v>
      </c>
      <c r="G16" s="21">
        <f t="shared" si="1"/>
        <v>0</v>
      </c>
      <c r="H16" s="21">
        <f t="shared" si="1"/>
        <v>0</v>
      </c>
      <c r="I16" s="21">
        <f t="shared" si="1"/>
        <v>0</v>
      </c>
      <c r="J16" s="21">
        <f t="shared" si="1"/>
        <v>0</v>
      </c>
      <c r="K16" s="21">
        <f t="shared" si="1"/>
        <v>0</v>
      </c>
      <c r="L16" s="21">
        <f t="shared" ca="1" si="1"/>
        <v>0</v>
      </c>
      <c r="M16" s="21">
        <f t="shared" si="1"/>
        <v>0</v>
      </c>
      <c r="N16" s="21">
        <f t="shared" ca="1" si="1"/>
        <v>1243.0088885735981</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0.18986668739392246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1611.8186951078301</v>
      </c>
      <c r="C20" s="23">
        <f t="shared" ref="C20:P20" ca="1" si="2">C16*C18</f>
        <v>0</v>
      </c>
      <c r="D20" s="23">
        <f t="shared" ca="1" si="2"/>
        <v>2228.8078321043931</v>
      </c>
      <c r="E20" s="23">
        <f t="shared" si="2"/>
        <v>40.768676541531001</v>
      </c>
      <c r="F20" s="23">
        <f t="shared" ca="1" si="2"/>
        <v>612.51929051018453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1061.5076236</v>
      </c>
      <c r="C26" s="39">
        <f>IF(ISERROR(B26*3.6/1000000/'E Balans VL '!Z12*100),0,B26*3.6/1000000/'E Balans VL '!Z12*100)</f>
        <v>2.273831795067317E-2</v>
      </c>
      <c r="D26" s="237" t="s">
        <v>660</v>
      </c>
      <c r="F26" s="6"/>
    </row>
    <row r="27" spans="1:18">
      <c r="A27" s="231" t="s">
        <v>53</v>
      </c>
      <c r="B27" s="33">
        <f>IF(ISERROR(TER_horeca_ele_kWh/1000),0,TER_horeca_ele_kWh/1000)</f>
        <v>1781.1285820999999</v>
      </c>
      <c r="C27" s="39">
        <f>IF(ISERROR(B27*3.6/1000000/'E Balans VL '!Z9*100),0,B27*3.6/1000000/'E Balans VL '!Z9*100)</f>
        <v>0.14292937757376761</v>
      </c>
      <c r="D27" s="237" t="s">
        <v>660</v>
      </c>
      <c r="F27" s="6"/>
    </row>
    <row r="28" spans="1:18">
      <c r="A28" s="171" t="s">
        <v>52</v>
      </c>
      <c r="B28" s="33">
        <f>IF(ISERROR(TER_handel_ele_kWh/1000),0,TER_handel_ele_kWh/1000)</f>
        <v>2420.4060452999997</v>
      </c>
      <c r="C28" s="39">
        <f>IF(ISERROR(B28*3.6/1000000/'E Balans VL '!Z13*100),0,B28*3.6/1000000/'E Balans VL '!Z13*100)</f>
        <v>7.138809544101786E-2</v>
      </c>
      <c r="D28" s="237" t="s">
        <v>660</v>
      </c>
      <c r="F28" s="6"/>
    </row>
    <row r="29" spans="1:18">
      <c r="A29" s="231" t="s">
        <v>51</v>
      </c>
      <c r="B29" s="33">
        <f>IF(ISERROR(TER_gezond_ele_kWh/1000),0,TER_gezond_ele_kWh/1000)</f>
        <v>179.70978524</v>
      </c>
      <c r="C29" s="39">
        <f>IF(ISERROR(B29*3.6/1000000/'E Balans VL '!Z10*100),0,B29*3.6/1000000/'E Balans VL '!Z10*100)</f>
        <v>1.9188186863608701E-2</v>
      </c>
      <c r="D29" s="237" t="s">
        <v>660</v>
      </c>
      <c r="F29" s="6"/>
    </row>
    <row r="30" spans="1:18">
      <c r="A30" s="231" t="s">
        <v>50</v>
      </c>
      <c r="B30" s="33">
        <f>IF(ISERROR(TER_ander_ele_kWh/1000),0,TER_ander_ele_kWh/1000)</f>
        <v>1389.9040198999999</v>
      </c>
      <c r="C30" s="39">
        <f>IF(ISERROR(B30*3.6/1000000/'E Balans VL '!Z14*100),0,B30*3.6/1000000/'E Balans VL '!Z14*100)</f>
        <v>0.10498490855597827</v>
      </c>
      <c r="D30" s="237" t="s">
        <v>660</v>
      </c>
      <c r="F30" s="6"/>
    </row>
    <row r="31" spans="1:18">
      <c r="A31" s="231" t="s">
        <v>55</v>
      </c>
      <c r="B31" s="33">
        <f>IF(ISERROR(TER_onderwijs_ele_kWh/1000),0,TER_onderwijs_ele_kWh/1000)</f>
        <v>57.698917856000001</v>
      </c>
      <c r="C31" s="39">
        <f>IF(ISERROR(B31*3.6/1000000/'E Balans VL '!Z11*100),0,B31*3.6/1000000/'E Balans VL '!Z11*100)</f>
        <v>1.1651337653806758E-2</v>
      </c>
      <c r="D31" s="237" t="s">
        <v>660</v>
      </c>
    </row>
    <row r="32" spans="1:18">
      <c r="A32" s="231" t="s">
        <v>260</v>
      </c>
      <c r="B32" s="33">
        <f>IF(ISERROR(TER_rest_ele_kWh/1000),0,TER_rest_ele_kWh/1000)</f>
        <v>1598.8577321999999</v>
      </c>
      <c r="C32" s="39">
        <f>IF(ISERROR(B32*3.6/1000000/'E Balans VL '!Z8*100),0,B32*3.6/1000000/'E Balans VL '!Z8*100)</f>
        <v>1.3256756993268618E-2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2711.1600540320001</v>
      </c>
      <c r="C5" s="17">
        <f>IF(ISERROR('Eigen informatie GS &amp; warmtenet'!B59),0,'Eigen informatie GS &amp; warmtenet'!B59)</f>
        <v>0</v>
      </c>
      <c r="D5" s="30">
        <f>SUM(D6:D15)</f>
        <v>1639.6891861774598</v>
      </c>
      <c r="E5" s="17">
        <f>SUM(E6:E15)</f>
        <v>329.87551080728053</v>
      </c>
      <c r="F5" s="17">
        <f>SUM(F6:F15)</f>
        <v>1231.9542265138582</v>
      </c>
      <c r="G5" s="18"/>
      <c r="H5" s="17"/>
      <c r="I5" s="17"/>
      <c r="J5" s="17">
        <f>SUM(J6:J15)</f>
        <v>10.605105830400746</v>
      </c>
      <c r="K5" s="17"/>
      <c r="L5" s="17"/>
      <c r="M5" s="17"/>
      <c r="N5" s="17">
        <f>SUM(N6:N15)</f>
        <v>706.33823090857572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70.591407622000006</v>
      </c>
      <c r="C8" s="33"/>
      <c r="D8" s="37">
        <f>IF( ISERROR(IND_metaal_Gas_kWH/1000),0,IND_metaal_Gas_kWH/1000)*0.902</f>
        <v>0</v>
      </c>
      <c r="E8" s="33">
        <f>C30*'E Balans VL '!I18/100/3.6*1000000</f>
        <v>2.5400923997239815</v>
      </c>
      <c r="F8" s="33">
        <f>C30*'E Balans VL '!L18/100/3.6*1000000+C30*'E Balans VL '!N18/100/3.6*1000000</f>
        <v>30.824979381293126</v>
      </c>
      <c r="G8" s="34"/>
      <c r="H8" s="33"/>
      <c r="I8" s="33"/>
      <c r="J8" s="40">
        <f>C30*'E Balans VL '!D18/100/3.6*1000000+C30*'E Balans VL '!E18/100/3.6*1000000</f>
        <v>0</v>
      </c>
      <c r="K8" s="33"/>
      <c r="L8" s="33"/>
      <c r="M8" s="33"/>
      <c r="N8" s="33">
        <f>C30*'E Balans VL '!Y18/100/3.6*1000000</f>
        <v>3.5379933780700727</v>
      </c>
      <c r="O8" s="33"/>
      <c r="P8" s="33"/>
      <c r="R8" s="32"/>
    </row>
    <row r="9" spans="1:18">
      <c r="A9" s="6" t="s">
        <v>33</v>
      </c>
      <c r="B9" s="37">
        <f t="shared" si="0"/>
        <v>968.27590242000008</v>
      </c>
      <c r="C9" s="33"/>
      <c r="D9" s="37">
        <f>IF( ISERROR(IND_andere_gas_kWh/1000),0,IND_andere_gas_kWh/1000)*0.902</f>
        <v>754.83487803657999</v>
      </c>
      <c r="E9" s="33">
        <f>C31*'E Balans VL '!I19/100/3.6*1000000</f>
        <v>247.08210244167552</v>
      </c>
      <c r="F9" s="33">
        <f>C31*'E Balans VL '!L19/100/3.6*1000000+C31*'E Balans VL '!N19/100/3.6*1000000</f>
        <v>833.61277353741116</v>
      </c>
      <c r="G9" s="34"/>
      <c r="H9" s="33"/>
      <c r="I9" s="33"/>
      <c r="J9" s="40">
        <f>C31*'E Balans VL '!D19/100/3.6*1000000+C31*'E Balans VL '!E19/100/3.6*1000000</f>
        <v>0</v>
      </c>
      <c r="K9" s="33"/>
      <c r="L9" s="33"/>
      <c r="M9" s="33"/>
      <c r="N9" s="33">
        <f>C31*'E Balans VL '!Y19/100/3.6*1000000</f>
        <v>302.81303467320339</v>
      </c>
      <c r="O9" s="33"/>
      <c r="P9" s="33"/>
      <c r="R9" s="32"/>
    </row>
    <row r="10" spans="1:18">
      <c r="A10" s="6" t="s">
        <v>41</v>
      </c>
      <c r="B10" s="37">
        <f t="shared" si="0"/>
        <v>364.16955719000003</v>
      </c>
      <c r="C10" s="33"/>
      <c r="D10" s="37">
        <f>IF( ISERROR(IND_voed_gas_kWh/1000),0,IND_voed_gas_kWh/1000)*0.902</f>
        <v>328.87841166597997</v>
      </c>
      <c r="E10" s="33">
        <f>C32*'E Balans VL '!I20/100/3.6*1000000</f>
        <v>9.2576901895497308</v>
      </c>
      <c r="F10" s="33">
        <f>C32*'E Balans VL '!L20/100/3.6*1000000+C32*'E Balans VL '!N20/100/3.6*1000000</f>
        <v>82.406104135598838</v>
      </c>
      <c r="G10" s="34"/>
      <c r="H10" s="33"/>
      <c r="I10" s="33"/>
      <c r="J10" s="40">
        <f>C32*'E Balans VL '!D20/100/3.6*1000000+C32*'E Balans VL '!E20/100/3.6*1000000</f>
        <v>0</v>
      </c>
      <c r="K10" s="33"/>
      <c r="L10" s="33"/>
      <c r="M10" s="33"/>
      <c r="N10" s="33">
        <f>C32*'E Balans VL '!Y20/100/3.6*1000000</f>
        <v>136.57345515036823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1308.1231868</v>
      </c>
      <c r="C15" s="33"/>
      <c r="D15" s="37">
        <f>IF( ISERROR(IND_rest_gas_kWh/1000),0,IND_rest_gas_kWh/1000)*0.902</f>
        <v>555.97589647489997</v>
      </c>
      <c r="E15" s="33">
        <f>C37*'E Balans VL '!I15/100/3.6*1000000</f>
        <v>70.995625776331309</v>
      </c>
      <c r="F15" s="33">
        <f>C37*'E Balans VL '!L15/100/3.6*1000000+C37*'E Balans VL '!N15/100/3.6*1000000</f>
        <v>285.11036945955499</v>
      </c>
      <c r="G15" s="34"/>
      <c r="H15" s="33"/>
      <c r="I15" s="33"/>
      <c r="J15" s="40">
        <f>C37*'E Balans VL '!D15/100/3.6*1000000+C37*'E Balans VL '!E15/100/3.6*1000000</f>
        <v>10.605105830400746</v>
      </c>
      <c r="K15" s="33"/>
      <c r="L15" s="33"/>
      <c r="M15" s="33"/>
      <c r="N15" s="33">
        <f>C37*'E Balans VL '!Y15/100/3.6*1000000</f>
        <v>263.41374770693403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2711.1600540320001</v>
      </c>
      <c r="C18" s="21">
        <f>C5+C16</f>
        <v>0</v>
      </c>
      <c r="D18" s="21">
        <f>MAX((D5+D16),0)</f>
        <v>1639.6891861774598</v>
      </c>
      <c r="E18" s="21">
        <f>MAX((E5+E16),0)</f>
        <v>329.87551080728053</v>
      </c>
      <c r="F18" s="21">
        <f>MAX((F5+F16),0)</f>
        <v>1231.9542265138582</v>
      </c>
      <c r="G18" s="21"/>
      <c r="H18" s="21"/>
      <c r="I18" s="21"/>
      <c r="J18" s="21">
        <f>MAX((J5+J16),0)</f>
        <v>10.605105830400746</v>
      </c>
      <c r="K18" s="21"/>
      <c r="L18" s="21">
        <f>MAX((L5+L16),0)</f>
        <v>0</v>
      </c>
      <c r="M18" s="21"/>
      <c r="N18" s="21">
        <f>MAX((N5+N16),0)</f>
        <v>706.33823090857572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0.18986668739392246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514.7589784537837</v>
      </c>
      <c r="C22" s="23">
        <f ca="1">C18*C20</f>
        <v>0</v>
      </c>
      <c r="D22" s="23">
        <f>D18*D20</f>
        <v>331.21721560784687</v>
      </c>
      <c r="E22" s="23">
        <f>E18*E20</f>
        <v>74.881740953252688</v>
      </c>
      <c r="F22" s="23">
        <f>F18*F20</f>
        <v>328.93177847920015</v>
      </c>
      <c r="G22" s="23"/>
      <c r="H22" s="23"/>
      <c r="I22" s="23"/>
      <c r="J22" s="23">
        <f>J18*J20</f>
        <v>3.7542074639618637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70.591407622000006</v>
      </c>
      <c r="C30" s="39">
        <f>IF(ISERROR(B30*3.6/1000000/'E Balans VL '!Z18*100),0,B30*3.6/1000000/'E Balans VL '!Z18*100)</f>
        <v>1.4956805835209915E-2</v>
      </c>
      <c r="D30" s="237" t="s">
        <v>660</v>
      </c>
    </row>
    <row r="31" spans="1:18">
      <c r="A31" s="6" t="s">
        <v>33</v>
      </c>
      <c r="B31" s="37">
        <f>IF( ISERROR(IND_ander_ele_kWh/1000),0,IND_ander_ele_kWh/1000)</f>
        <v>968.27590242000008</v>
      </c>
      <c r="C31" s="39">
        <f>IF(ISERROR(B31*3.6/1000000/'E Balans VL '!Z19*100),0,B31*3.6/1000000/'E Balans VL '!Z19*100)</f>
        <v>4.0756931363191647E-2</v>
      </c>
      <c r="D31" s="237" t="s">
        <v>660</v>
      </c>
    </row>
    <row r="32" spans="1:18">
      <c r="A32" s="171" t="s">
        <v>41</v>
      </c>
      <c r="B32" s="37">
        <f>IF( ISERROR(IND_voed_ele_kWh/1000),0,IND_voed_ele_kWh/1000)</f>
        <v>364.16955719000003</v>
      </c>
      <c r="C32" s="39">
        <f>IF(ISERROR(B32*3.6/1000000/'E Balans VL '!Z20*100),0,B32*3.6/1000000/'E Balans VL '!Z20*100)</f>
        <v>6.0838644823748927E-2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1308.1231868</v>
      </c>
      <c r="C37" s="39">
        <f>IF(ISERROR(B37*3.6/1000000/'E Balans VL '!Z15*100),0,B37*3.6/1000000/'E Balans VL '!Z15*100)</f>
        <v>1.0560985015550429E-2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2033.2265299400001</v>
      </c>
      <c r="C5" s="17">
        <f>'Eigen informatie GS &amp; warmtenet'!B60</f>
        <v>0</v>
      </c>
      <c r="D5" s="30">
        <f>IF(ISERROR(SUM(LB_lb_gas_kWh,LB_rest_gas_kWh,onbekend_gas_kWh)/1000),0,SUM(LB_lb_gas_kWh,LB_rest_gas_kWh,onbekend_gas_kWh)/1000)*0.902</f>
        <v>1287.1137641883402</v>
      </c>
      <c r="E5" s="17">
        <f>B17*'E Balans VL '!I25/3.6*1000000/100</f>
        <v>52.429105519845891</v>
      </c>
      <c r="F5" s="17">
        <f>B17*('E Balans VL '!L25/3.6*1000000+'E Balans VL '!N25/3.6*1000000)/100</f>
        <v>7431.8301761138127</v>
      </c>
      <c r="G5" s="18"/>
      <c r="H5" s="17"/>
      <c r="I5" s="17"/>
      <c r="J5" s="17">
        <f>('E Balans VL '!D25+'E Balans VL '!E25)/3.6*1000000*landbouw!B17/100</f>
        <v>292.70982470424917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2033.2265299400001</v>
      </c>
      <c r="C8" s="21">
        <f>C5+C6</f>
        <v>0</v>
      </c>
      <c r="D8" s="21">
        <f>MAX((D5+D6),0)</f>
        <v>1287.1137641883402</v>
      </c>
      <c r="E8" s="21">
        <f>MAX((E5+E6),0)</f>
        <v>52.429105519845891</v>
      </c>
      <c r="F8" s="21">
        <f>MAX((F5+F6),0)</f>
        <v>7431.8301761138127</v>
      </c>
      <c r="G8" s="21"/>
      <c r="H8" s="21"/>
      <c r="I8" s="21"/>
      <c r="J8" s="21">
        <f>MAX((J5+J6),0)</f>
        <v>292.70982470424917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0.18986668739392246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386.0419859611477</v>
      </c>
      <c r="C12" s="23">
        <f ca="1">C8*C10</f>
        <v>0</v>
      </c>
      <c r="D12" s="23">
        <f>D8*D10</f>
        <v>259.99698036604474</v>
      </c>
      <c r="E12" s="23">
        <f>E8*E10</f>
        <v>11.901406953005017</v>
      </c>
      <c r="F12" s="23">
        <f>F8*F10</f>
        <v>1984.2986570223882</v>
      </c>
      <c r="G12" s="23"/>
      <c r="H12" s="23"/>
      <c r="I12" s="23"/>
      <c r="J12" s="23">
        <f>J8*J10</f>
        <v>103.6192779453042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0.28669840851208778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487.76921820365379</v>
      </c>
      <c r="C26" s="247">
        <f>B26*'GWP N2O_CH4'!B5</f>
        <v>10243.153582276729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232.23160498734666</v>
      </c>
      <c r="C27" s="247">
        <f>B27*'GWP N2O_CH4'!B5</f>
        <v>4876.86370473428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15.208269237959403</v>
      </c>
      <c r="C28" s="247">
        <f>B28*'GWP N2O_CH4'!B4</f>
        <v>4714.5634637674148</v>
      </c>
      <c r="D28" s="50"/>
    </row>
    <row r="29" spans="1:4">
      <c r="A29" s="41" t="s">
        <v>277</v>
      </c>
      <c r="B29" s="247">
        <f>B34*'ha_N2O bodem landbouw'!B4</f>
        <v>18.22951495341162</v>
      </c>
      <c r="C29" s="247">
        <f>B29*'GWP N2O_CH4'!B4</f>
        <v>5651.1496355576019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4.1026314851767389E-3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9.9242735987765777E-5</v>
      </c>
      <c r="C5" s="463" t="s">
        <v>211</v>
      </c>
      <c r="D5" s="448">
        <f>SUM(D6:D11)</f>
        <v>2.1785797466247284E-4</v>
      </c>
      <c r="E5" s="448">
        <f>SUM(E6:E11)</f>
        <v>8.8745937269689868E-4</v>
      </c>
      <c r="F5" s="461" t="s">
        <v>211</v>
      </c>
      <c r="G5" s="448">
        <f>SUM(G6:G11)</f>
        <v>0.359118720532077</v>
      </c>
      <c r="H5" s="448">
        <f>SUM(H6:H11)</f>
        <v>5.9181637964275481E-2</v>
      </c>
      <c r="I5" s="463" t="s">
        <v>211</v>
      </c>
      <c r="J5" s="463" t="s">
        <v>211</v>
      </c>
      <c r="K5" s="463" t="s">
        <v>211</v>
      </c>
      <c r="L5" s="463" t="s">
        <v>211</v>
      </c>
      <c r="M5" s="448">
        <f>SUM(M6:M11)</f>
        <v>1.3086850096689129E-2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6.5789020335423303E-5</v>
      </c>
      <c r="C6" s="449"/>
      <c r="D6" s="962">
        <f>vkm_2011_GW_PW*SUMIFS(TableVerdeelsleutelVkm[CNG],TableVerdeelsleutelVkm[Voertuigtype],"Lichte voertuigen")*SUMIFS(TableECFTransport[EnergieConsumptieFactor (PJ per km)],TableECFTransport[Index],CONCATENATE($A6,"_CNG_CNG"))</f>
        <v>1.30723935802128E-4</v>
      </c>
      <c r="E6" s="962">
        <f>vkm_2011_GW_PW*SUMIFS(TableVerdeelsleutelVkm[LPG],TableVerdeelsleutelVkm[Voertuigtype],"Lichte voertuigen")*SUMIFS(TableECFTransport[EnergieConsumptieFactor (PJ per km)],TableECFTransport[Index],CONCATENATE($A6,"_LPG_LPG"))</f>
        <v>5.1444554839944747E-4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0.12231749975332501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3.5390902164299999E-2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4.9143394338208007E-3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6.0675394320215688E-2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1.9600744024357168E-5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1.9117888370613607E-3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1.2200866033591593E-5</v>
      </c>
      <c r="C8" s="449"/>
      <c r="D8" s="451">
        <f>vkm_2011_NGW_PW*SUMIFS(TableVerdeelsleutelVkm[CNG],TableVerdeelsleutelVkm[Voertuigtype],"Lichte voertuigen")*SUMIFS(TableECFTransport[EnergieConsumptieFactor (PJ per km)],TableECFTransport[Index],CONCATENATE($A8,"_CNG_CNG"))</f>
        <v>4.2926101711500417E-5</v>
      </c>
      <c r="E8" s="451">
        <f>vkm_2011_NGW_PW*SUMIFS(TableVerdeelsleutelVkm[LPG],TableVerdeelsleutelVkm[Voertuigtype],"Lichte voertuigen")*SUMIFS(TableECFTransport[EnergieConsumptieFactor (PJ per km)],TableECFTransport[Index],CONCATENATE($A8,"_LPG_LPG"))</f>
        <v>1.5623003432211239E-4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3.468745940566878E-2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1.126873028038854E-2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1.4305982523597827E-3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6.2645113991387797E-3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1.9138613498890291E-6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1.9738187444967741E-4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2.1252849618750878E-5</v>
      </c>
      <c r="C10" s="449"/>
      <c r="D10" s="451">
        <f>vkm_2011_SW_PW*SUMIFS(TableVerdeelsleutelVkm[CNG],TableVerdeelsleutelVkm[Voertuigtype],"Lichte voertuigen")*SUMIFS(TableECFTransport[EnergieConsumptieFactor (PJ per km)],TableECFTransport[Index],CONCATENATE($A10,"_CNG_CNG"))</f>
        <v>4.420793714884444E-5</v>
      </c>
      <c r="E10" s="451">
        <f>vkm_2011_SW_PW*SUMIFS(TableVerdeelsleutelVkm[LPG],TableVerdeelsleutelVkm[Voertuigtype],"Lichte voertuigen")*SUMIFS(TableECFTransport[EnergieConsumptieFactor (PJ per km)],TableECFTransport[Index],CONCATENATE($A10,"_LPG_LPG"))</f>
        <v>2.1678378997533882E-4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4.6172458234837573E-2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1.2469513222221779E-2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1.8283770671468883E-3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8.9001397418891168E-2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3.0977691990923024E-5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2.8043646318506197E-3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27.567426663268272</v>
      </c>
      <c r="C14" s="21"/>
      <c r="D14" s="21">
        <f t="shared" ref="D14:M14" si="0">((D5)*10^9/3600)+D12</f>
        <v>60.516104072909123</v>
      </c>
      <c r="E14" s="21">
        <f t="shared" si="0"/>
        <v>246.51649241580517</v>
      </c>
      <c r="F14" s="21"/>
      <c r="G14" s="21">
        <f t="shared" si="0"/>
        <v>99755.200147799173</v>
      </c>
      <c r="H14" s="21">
        <f t="shared" si="0"/>
        <v>16439.34387896541</v>
      </c>
      <c r="I14" s="21"/>
      <c r="J14" s="21"/>
      <c r="K14" s="21"/>
      <c r="L14" s="21"/>
      <c r="M14" s="21">
        <f t="shared" si="0"/>
        <v>3635.2361379692024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0.18986668739392246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5.2341359805296399</v>
      </c>
      <c r="C18" s="23"/>
      <c r="D18" s="23">
        <f t="shared" ref="D18:M18" si="1">D14*D16</f>
        <v>12.224253022727643</v>
      </c>
      <c r="E18" s="23">
        <f t="shared" si="1"/>
        <v>55.95924377838778</v>
      </c>
      <c r="F18" s="23"/>
      <c r="G18" s="23">
        <f t="shared" si="1"/>
        <v>26634.638439462382</v>
      </c>
      <c r="H18" s="23">
        <f t="shared" si="1"/>
        <v>4093.3966258623873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2.3834991459599692E-3</v>
      </c>
      <c r="H50" s="321">
        <f t="shared" si="2"/>
        <v>0</v>
      </c>
      <c r="I50" s="321">
        <f t="shared" si="2"/>
        <v>0</v>
      </c>
      <c r="J50" s="321">
        <f t="shared" si="2"/>
        <v>0</v>
      </c>
      <c r="K50" s="321">
        <f t="shared" si="2"/>
        <v>0</v>
      </c>
      <c r="L50" s="321">
        <f t="shared" si="2"/>
        <v>0</v>
      </c>
      <c r="M50" s="321">
        <f t="shared" si="2"/>
        <v>7.3930811186081812E-5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2.3834991459599692E-3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7.3930811186081812E-5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662.08309609999139</v>
      </c>
      <c r="H54" s="21">
        <f t="shared" si="3"/>
        <v>0</v>
      </c>
      <c r="I54" s="21">
        <f t="shared" si="3"/>
        <v>0</v>
      </c>
      <c r="J54" s="21">
        <f t="shared" si="3"/>
        <v>0</v>
      </c>
      <c r="K54" s="21">
        <f t="shared" si="3"/>
        <v>0</v>
      </c>
      <c r="L54" s="21">
        <f t="shared" si="3"/>
        <v>0</v>
      </c>
      <c r="M54" s="21">
        <f t="shared" si="3"/>
        <v>20.536336440578282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0.18986668739392246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176.77618665869772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4719.6988973075777</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4719.6988973075777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9031.9507061959976</v>
      </c>
      <c r="D10" s="718">
        <f ca="1">tertiair!C16</f>
        <v>0</v>
      </c>
      <c r="E10" s="718">
        <f ca="1">tertiair!D16</f>
        <v>11033.702139130659</v>
      </c>
      <c r="F10" s="718">
        <f>tertiair!E16</f>
        <v>179.59769401555505</v>
      </c>
      <c r="G10" s="718">
        <f ca="1">tertiair!F16</f>
        <v>2294.0797397385186</v>
      </c>
      <c r="H10" s="718">
        <f>tertiair!G16</f>
        <v>0</v>
      </c>
      <c r="I10" s="718">
        <f>tertiair!H16</f>
        <v>0</v>
      </c>
      <c r="J10" s="718">
        <f>tertiair!I16</f>
        <v>0</v>
      </c>
      <c r="K10" s="718">
        <f>tertiair!J16</f>
        <v>0</v>
      </c>
      <c r="L10" s="718">
        <f>tertiair!K16</f>
        <v>0</v>
      </c>
      <c r="M10" s="718">
        <f ca="1">tertiair!L16</f>
        <v>0</v>
      </c>
      <c r="N10" s="718">
        <f>tertiair!M16</f>
        <v>0</v>
      </c>
      <c r="O10" s="718">
        <f ca="1">tertiair!N16</f>
        <v>1243.0088885735981</v>
      </c>
      <c r="P10" s="718">
        <f>tertiair!O16</f>
        <v>7.8166666666666664</v>
      </c>
      <c r="Q10" s="719">
        <f>tertiair!P16</f>
        <v>38.133333333333333</v>
      </c>
      <c r="R10" s="721">
        <f ca="1">SUM(C10:Q10)</f>
        <v>23828.28916765433</v>
      </c>
      <c r="S10" s="67"/>
    </row>
    <row r="11" spans="1:19" s="474" customFormat="1">
      <c r="A11" s="870" t="s">
        <v>225</v>
      </c>
      <c r="B11" s="875"/>
      <c r="C11" s="718">
        <f>huishoudens!B8</f>
        <v>19698.905263670458</v>
      </c>
      <c r="D11" s="718">
        <f>huishoudens!C8</f>
        <v>0</v>
      </c>
      <c r="E11" s="718">
        <f>huishoudens!D8</f>
        <v>42609.162017443996</v>
      </c>
      <c r="F11" s="718">
        <f>huishoudens!E8</f>
        <v>2076.5433612685015</v>
      </c>
      <c r="G11" s="718">
        <f>huishoudens!F8</f>
        <v>16978.652511423039</v>
      </c>
      <c r="H11" s="718">
        <f>huishoudens!G8</f>
        <v>0</v>
      </c>
      <c r="I11" s="718">
        <f>huishoudens!H8</f>
        <v>0</v>
      </c>
      <c r="J11" s="718">
        <f>huishoudens!I8</f>
        <v>0</v>
      </c>
      <c r="K11" s="718">
        <f>huishoudens!J8</f>
        <v>0</v>
      </c>
      <c r="L11" s="718">
        <f>huishoudens!K8</f>
        <v>0</v>
      </c>
      <c r="M11" s="718">
        <f>huishoudens!L8</f>
        <v>0</v>
      </c>
      <c r="N11" s="718">
        <f>huishoudens!M8</f>
        <v>0</v>
      </c>
      <c r="O11" s="718">
        <f>huishoudens!N8</f>
        <v>24463.787145940525</v>
      </c>
      <c r="P11" s="718">
        <f>huishoudens!O8</f>
        <v>286.09000000000003</v>
      </c>
      <c r="Q11" s="719">
        <f>huishoudens!P8</f>
        <v>1163.0666666666666</v>
      </c>
      <c r="R11" s="721">
        <f>SUM(C11:Q11)</f>
        <v>107276.20696641319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2711.1600540320001</v>
      </c>
      <c r="D13" s="718">
        <f>industrie!C18</f>
        <v>0</v>
      </c>
      <c r="E13" s="718">
        <f>industrie!D18</f>
        <v>1639.6891861774598</v>
      </c>
      <c r="F13" s="718">
        <f>industrie!E18</f>
        <v>329.87551080728053</v>
      </c>
      <c r="G13" s="718">
        <f>industrie!F18</f>
        <v>1231.9542265138582</v>
      </c>
      <c r="H13" s="718">
        <f>industrie!G18</f>
        <v>0</v>
      </c>
      <c r="I13" s="718">
        <f>industrie!H18</f>
        <v>0</v>
      </c>
      <c r="J13" s="718">
        <f>industrie!I18</f>
        <v>0</v>
      </c>
      <c r="K13" s="718">
        <f>industrie!J18</f>
        <v>10.605105830400746</v>
      </c>
      <c r="L13" s="718">
        <f>industrie!K18</f>
        <v>0</v>
      </c>
      <c r="M13" s="718">
        <f>industrie!L18</f>
        <v>0</v>
      </c>
      <c r="N13" s="718">
        <f>industrie!M18</f>
        <v>0</v>
      </c>
      <c r="O13" s="718">
        <f>industrie!N18</f>
        <v>706.33823090857572</v>
      </c>
      <c r="P13" s="718">
        <f>industrie!O18</f>
        <v>0</v>
      </c>
      <c r="Q13" s="719">
        <f>industrie!P18</f>
        <v>0</v>
      </c>
      <c r="R13" s="721">
        <f>SUM(C13:Q13)</f>
        <v>6629.6223142695744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31442.016023898454</v>
      </c>
      <c r="D15" s="723">
        <f t="shared" ref="D15:Q15" ca="1" si="0">SUM(D9:D14)</f>
        <v>0</v>
      </c>
      <c r="E15" s="723">
        <f t="shared" ca="1" si="0"/>
        <v>55282.553342752108</v>
      </c>
      <c r="F15" s="723">
        <f t="shared" si="0"/>
        <v>2586.0165660913372</v>
      </c>
      <c r="G15" s="723">
        <f t="shared" ca="1" si="0"/>
        <v>20504.686477675416</v>
      </c>
      <c r="H15" s="723">
        <f t="shared" si="0"/>
        <v>0</v>
      </c>
      <c r="I15" s="723">
        <f t="shared" si="0"/>
        <v>0</v>
      </c>
      <c r="J15" s="723">
        <f t="shared" si="0"/>
        <v>0</v>
      </c>
      <c r="K15" s="723">
        <f t="shared" si="0"/>
        <v>10.605105830400746</v>
      </c>
      <c r="L15" s="723">
        <f t="shared" si="0"/>
        <v>0</v>
      </c>
      <c r="M15" s="723">
        <f t="shared" ca="1" si="0"/>
        <v>0</v>
      </c>
      <c r="N15" s="723">
        <f t="shared" si="0"/>
        <v>0</v>
      </c>
      <c r="O15" s="723">
        <f t="shared" ca="1" si="0"/>
        <v>26413.134265422697</v>
      </c>
      <c r="P15" s="723">
        <f t="shared" si="0"/>
        <v>293.90666666666669</v>
      </c>
      <c r="Q15" s="724">
        <f t="shared" si="0"/>
        <v>1201.2</v>
      </c>
      <c r="R15" s="725">
        <f ca="1">SUM(R9:R14)</f>
        <v>137734.11844833707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662.08309609999139</v>
      </c>
      <c r="I18" s="718">
        <f>transport!H54</f>
        <v>0</v>
      </c>
      <c r="J18" s="718">
        <f>transport!I54</f>
        <v>0</v>
      </c>
      <c r="K18" s="718">
        <f>transport!J54</f>
        <v>0</v>
      </c>
      <c r="L18" s="718">
        <f>transport!K54</f>
        <v>0</v>
      </c>
      <c r="M18" s="718">
        <f>transport!L54</f>
        <v>0</v>
      </c>
      <c r="N18" s="718">
        <f>transport!M54</f>
        <v>20.536336440578282</v>
      </c>
      <c r="O18" s="718">
        <f>transport!N54</f>
        <v>0</v>
      </c>
      <c r="P18" s="718">
        <f>transport!O54</f>
        <v>0</v>
      </c>
      <c r="Q18" s="719">
        <f>transport!P54</f>
        <v>0</v>
      </c>
      <c r="R18" s="721">
        <f>SUM(C18:Q18)</f>
        <v>682.61943254056973</v>
      </c>
      <c r="S18" s="67"/>
    </row>
    <row r="19" spans="1:19" s="474" customFormat="1" ht="15" thickBot="1">
      <c r="A19" s="870" t="s">
        <v>307</v>
      </c>
      <c r="B19" s="875"/>
      <c r="C19" s="727">
        <f>transport!B14</f>
        <v>27.567426663268272</v>
      </c>
      <c r="D19" s="727">
        <f>transport!C14</f>
        <v>0</v>
      </c>
      <c r="E19" s="727">
        <f>transport!D14</f>
        <v>60.516104072909123</v>
      </c>
      <c r="F19" s="727">
        <f>transport!E14</f>
        <v>246.51649241580517</v>
      </c>
      <c r="G19" s="727">
        <f>transport!F14</f>
        <v>0</v>
      </c>
      <c r="H19" s="727">
        <f>transport!G14</f>
        <v>99755.200147799173</v>
      </c>
      <c r="I19" s="727">
        <f>transport!H14</f>
        <v>16439.34387896541</v>
      </c>
      <c r="J19" s="727">
        <f>transport!I14</f>
        <v>0</v>
      </c>
      <c r="K19" s="727">
        <f>transport!J14</f>
        <v>0</v>
      </c>
      <c r="L19" s="727">
        <f>transport!K14</f>
        <v>0</v>
      </c>
      <c r="M19" s="727">
        <f>transport!L14</f>
        <v>0</v>
      </c>
      <c r="N19" s="727">
        <f>transport!M14</f>
        <v>3635.2361379692024</v>
      </c>
      <c r="O19" s="727">
        <f>transport!N14</f>
        <v>0</v>
      </c>
      <c r="P19" s="727">
        <f>transport!O14</f>
        <v>0</v>
      </c>
      <c r="Q19" s="728">
        <f>transport!P14</f>
        <v>0</v>
      </c>
      <c r="R19" s="729">
        <f>SUM(C19:Q19)</f>
        <v>120164.38018788576</v>
      </c>
      <c r="S19" s="67"/>
    </row>
    <row r="20" spans="1:19" s="474" customFormat="1" ht="15.75" thickBot="1">
      <c r="A20" s="730" t="s">
        <v>230</v>
      </c>
      <c r="B20" s="878"/>
      <c r="C20" s="873">
        <f>SUM(C17:C19)</f>
        <v>27.567426663268272</v>
      </c>
      <c r="D20" s="731">
        <f t="shared" ref="D20:R20" si="1">SUM(D17:D19)</f>
        <v>0</v>
      </c>
      <c r="E20" s="731">
        <f t="shared" si="1"/>
        <v>60.516104072909123</v>
      </c>
      <c r="F20" s="731">
        <f t="shared" si="1"/>
        <v>246.51649241580517</v>
      </c>
      <c r="G20" s="731">
        <f t="shared" si="1"/>
        <v>0</v>
      </c>
      <c r="H20" s="731">
        <f t="shared" si="1"/>
        <v>100417.28324389916</v>
      </c>
      <c r="I20" s="731">
        <f t="shared" si="1"/>
        <v>16439.34387896541</v>
      </c>
      <c r="J20" s="731">
        <f t="shared" si="1"/>
        <v>0</v>
      </c>
      <c r="K20" s="731">
        <f t="shared" si="1"/>
        <v>0</v>
      </c>
      <c r="L20" s="731">
        <f t="shared" si="1"/>
        <v>0</v>
      </c>
      <c r="M20" s="731">
        <f t="shared" si="1"/>
        <v>0</v>
      </c>
      <c r="N20" s="731">
        <f t="shared" si="1"/>
        <v>3655.7724744097809</v>
      </c>
      <c r="O20" s="731">
        <f t="shared" si="1"/>
        <v>0</v>
      </c>
      <c r="P20" s="731">
        <f t="shared" si="1"/>
        <v>0</v>
      </c>
      <c r="Q20" s="732">
        <f t="shared" si="1"/>
        <v>0</v>
      </c>
      <c r="R20" s="733">
        <f t="shared" si="1"/>
        <v>120846.99962042633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2033.2265299400001</v>
      </c>
      <c r="D22" s="727">
        <f>+landbouw!C8</f>
        <v>0</v>
      </c>
      <c r="E22" s="727">
        <f>+landbouw!D8</f>
        <v>1287.1137641883402</v>
      </c>
      <c r="F22" s="727">
        <f>+landbouw!E8</f>
        <v>52.429105519845891</v>
      </c>
      <c r="G22" s="727">
        <f>+landbouw!F8</f>
        <v>7431.8301761138127</v>
      </c>
      <c r="H22" s="727">
        <f>+landbouw!G8</f>
        <v>0</v>
      </c>
      <c r="I22" s="727">
        <f>+landbouw!H8</f>
        <v>0</v>
      </c>
      <c r="J22" s="727">
        <f>+landbouw!I8</f>
        <v>0</v>
      </c>
      <c r="K22" s="727">
        <f>+landbouw!J8</f>
        <v>292.70982470424917</v>
      </c>
      <c r="L22" s="727">
        <f>+landbouw!K8</f>
        <v>0</v>
      </c>
      <c r="M22" s="727">
        <f>+landbouw!L8</f>
        <v>0</v>
      </c>
      <c r="N22" s="727">
        <f>+landbouw!M8</f>
        <v>0</v>
      </c>
      <c r="O22" s="727">
        <f>+landbouw!N8</f>
        <v>0</v>
      </c>
      <c r="P22" s="727">
        <f>+landbouw!O8</f>
        <v>0</v>
      </c>
      <c r="Q22" s="728">
        <f>+landbouw!P8</f>
        <v>0</v>
      </c>
      <c r="R22" s="729">
        <f>SUM(C22:Q22)</f>
        <v>11097.309400466247</v>
      </c>
      <c r="S22" s="67"/>
    </row>
    <row r="23" spans="1:19" s="474" customFormat="1" ht="17.25" thickTop="1" thickBot="1">
      <c r="A23" s="734" t="s">
        <v>116</v>
      </c>
      <c r="B23" s="864"/>
      <c r="C23" s="735">
        <f ca="1">C20+C15+C22</f>
        <v>33502.809980501719</v>
      </c>
      <c r="D23" s="735">
        <f t="shared" ref="D23:Q23" ca="1" si="2">D20+D15+D22</f>
        <v>0</v>
      </c>
      <c r="E23" s="735">
        <f t="shared" ca="1" si="2"/>
        <v>56630.183211013355</v>
      </c>
      <c r="F23" s="735">
        <f t="shared" si="2"/>
        <v>2884.9621640269884</v>
      </c>
      <c r="G23" s="735">
        <f t="shared" ca="1" si="2"/>
        <v>27936.516653789229</v>
      </c>
      <c r="H23" s="735">
        <f t="shared" si="2"/>
        <v>100417.28324389916</v>
      </c>
      <c r="I23" s="735">
        <f t="shared" si="2"/>
        <v>16439.34387896541</v>
      </c>
      <c r="J23" s="735">
        <f t="shared" si="2"/>
        <v>0</v>
      </c>
      <c r="K23" s="735">
        <f t="shared" si="2"/>
        <v>303.31493053464993</v>
      </c>
      <c r="L23" s="735">
        <f t="shared" si="2"/>
        <v>0</v>
      </c>
      <c r="M23" s="735">
        <f t="shared" ca="1" si="2"/>
        <v>0</v>
      </c>
      <c r="N23" s="735">
        <f t="shared" si="2"/>
        <v>3655.7724744097809</v>
      </c>
      <c r="O23" s="735">
        <f t="shared" ca="1" si="2"/>
        <v>26413.134265422697</v>
      </c>
      <c r="P23" s="735">
        <f t="shared" si="2"/>
        <v>293.90666666666669</v>
      </c>
      <c r="Q23" s="736">
        <f t="shared" si="2"/>
        <v>1201.2</v>
      </c>
      <c r="R23" s="737">
        <f ca="1">R20+R15+R22</f>
        <v>269678.42746922967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1714.8665612906327</v>
      </c>
      <c r="D36" s="718">
        <f ca="1">tertiair!C20</f>
        <v>0</v>
      </c>
      <c r="E36" s="718">
        <f ca="1">tertiair!D20</f>
        <v>2228.8078321043931</v>
      </c>
      <c r="F36" s="718">
        <f>tertiair!E20</f>
        <v>40.768676541531001</v>
      </c>
      <c r="G36" s="718">
        <f ca="1">tertiair!F20</f>
        <v>612.51929051018453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4596.9623604467415</v>
      </c>
    </row>
    <row r="37" spans="1:18">
      <c r="A37" s="885" t="s">
        <v>225</v>
      </c>
      <c r="B37" s="892"/>
      <c r="C37" s="718">
        <f ca="1">huishoudens!B12</f>
        <v>3740.1658876998126</v>
      </c>
      <c r="D37" s="718">
        <f ca="1">huishoudens!C12</f>
        <v>0</v>
      </c>
      <c r="E37" s="718">
        <f>huishoudens!D12</f>
        <v>8607.0507275236869</v>
      </c>
      <c r="F37" s="718">
        <f>huishoudens!E12</f>
        <v>471.37534300794988</v>
      </c>
      <c r="G37" s="718">
        <f>huishoudens!F12</f>
        <v>4533.3002205499515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17351.892178781403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514.7589784537837</v>
      </c>
      <c r="D39" s="718">
        <f ca="1">industrie!C22</f>
        <v>0</v>
      </c>
      <c r="E39" s="718">
        <f>industrie!D22</f>
        <v>331.21721560784687</v>
      </c>
      <c r="F39" s="718">
        <f>industrie!E22</f>
        <v>74.881740953252688</v>
      </c>
      <c r="G39" s="718">
        <f>industrie!F22</f>
        <v>328.93177847920015</v>
      </c>
      <c r="H39" s="718">
        <f>industrie!G22</f>
        <v>0</v>
      </c>
      <c r="I39" s="718">
        <f>industrie!H22</f>
        <v>0</v>
      </c>
      <c r="J39" s="718">
        <f>industrie!I22</f>
        <v>0</v>
      </c>
      <c r="K39" s="718">
        <f>industrie!J22</f>
        <v>3.7542074639618637</v>
      </c>
      <c r="L39" s="718">
        <f>industrie!K22</f>
        <v>0</v>
      </c>
      <c r="M39" s="718">
        <f>industrie!L22</f>
        <v>0</v>
      </c>
      <c r="N39" s="718">
        <f>industrie!M22</f>
        <v>0</v>
      </c>
      <c r="O39" s="718">
        <f>industrie!N22</f>
        <v>0</v>
      </c>
      <c r="P39" s="718">
        <f>industrie!O22</f>
        <v>0</v>
      </c>
      <c r="Q39" s="828">
        <f>industrie!P22</f>
        <v>0</v>
      </c>
      <c r="R39" s="918">
        <f ca="1">SUM(C39:Q39)</f>
        <v>1253.5439209580454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5969.7914274442292</v>
      </c>
      <c r="D41" s="763">
        <f t="shared" ref="D41:R41" ca="1" si="4">SUM(D35:D40)</f>
        <v>0</v>
      </c>
      <c r="E41" s="763">
        <f t="shared" ca="1" si="4"/>
        <v>11167.075775235926</v>
      </c>
      <c r="F41" s="763">
        <f t="shared" si="4"/>
        <v>587.02576050273353</v>
      </c>
      <c r="G41" s="763">
        <f t="shared" ca="1" si="4"/>
        <v>5474.7512895393365</v>
      </c>
      <c r="H41" s="763">
        <f t="shared" si="4"/>
        <v>0</v>
      </c>
      <c r="I41" s="763">
        <f t="shared" si="4"/>
        <v>0</v>
      </c>
      <c r="J41" s="763">
        <f t="shared" si="4"/>
        <v>0</v>
      </c>
      <c r="K41" s="763">
        <f t="shared" si="4"/>
        <v>3.7542074639618637</v>
      </c>
      <c r="L41" s="763">
        <f t="shared" si="4"/>
        <v>0</v>
      </c>
      <c r="M41" s="763">
        <f t="shared" ca="1" si="4"/>
        <v>0</v>
      </c>
      <c r="N41" s="763">
        <f t="shared" si="4"/>
        <v>0</v>
      </c>
      <c r="O41" s="763">
        <f t="shared" ca="1" si="4"/>
        <v>0</v>
      </c>
      <c r="P41" s="763">
        <f t="shared" si="4"/>
        <v>0</v>
      </c>
      <c r="Q41" s="764">
        <f t="shared" si="4"/>
        <v>0</v>
      </c>
      <c r="R41" s="765">
        <f t="shared" ca="1" si="4"/>
        <v>23202.398460186188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176.77618665869772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176.77618665869772</v>
      </c>
    </row>
    <row r="45" spans="1:18" ht="15" thickBot="1">
      <c r="A45" s="888" t="s">
        <v>307</v>
      </c>
      <c r="B45" s="898"/>
      <c r="C45" s="727">
        <f ca="1">transport!B18</f>
        <v>5.2341359805296399</v>
      </c>
      <c r="D45" s="727">
        <f>transport!C18</f>
        <v>0</v>
      </c>
      <c r="E45" s="727">
        <f>transport!D18</f>
        <v>12.224253022727643</v>
      </c>
      <c r="F45" s="727">
        <f>transport!E18</f>
        <v>55.95924377838778</v>
      </c>
      <c r="G45" s="727">
        <f>transport!F18</f>
        <v>0</v>
      </c>
      <c r="H45" s="727">
        <f>transport!G18</f>
        <v>26634.638439462382</v>
      </c>
      <c r="I45" s="727">
        <f>transport!H18</f>
        <v>4093.3966258623873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30801.452698106415</v>
      </c>
    </row>
    <row r="46" spans="1:18" ht="15.75" thickBot="1">
      <c r="A46" s="886" t="s">
        <v>230</v>
      </c>
      <c r="B46" s="899"/>
      <c r="C46" s="763">
        <f t="shared" ref="C46:R46" ca="1" si="5">SUM(C43:C45)</f>
        <v>5.2341359805296399</v>
      </c>
      <c r="D46" s="763">
        <f t="shared" ca="1" si="5"/>
        <v>0</v>
      </c>
      <c r="E46" s="763">
        <f t="shared" si="5"/>
        <v>12.224253022727643</v>
      </c>
      <c r="F46" s="763">
        <f t="shared" si="5"/>
        <v>55.95924377838778</v>
      </c>
      <c r="G46" s="763">
        <f t="shared" si="5"/>
        <v>0</v>
      </c>
      <c r="H46" s="763">
        <f t="shared" si="5"/>
        <v>26811.414626121081</v>
      </c>
      <c r="I46" s="763">
        <f t="shared" si="5"/>
        <v>4093.3966258623873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30978.228884765114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386.0419859611477</v>
      </c>
      <c r="D48" s="718">
        <f ca="1">+landbouw!C12</f>
        <v>0</v>
      </c>
      <c r="E48" s="718">
        <f>+landbouw!D12</f>
        <v>259.99698036604474</v>
      </c>
      <c r="F48" s="718">
        <f>+landbouw!E12</f>
        <v>11.901406953005017</v>
      </c>
      <c r="G48" s="718">
        <f>+landbouw!F12</f>
        <v>1984.2986570223882</v>
      </c>
      <c r="H48" s="718">
        <f>+landbouw!G12</f>
        <v>0</v>
      </c>
      <c r="I48" s="718">
        <f>+landbouw!H12</f>
        <v>0</v>
      </c>
      <c r="J48" s="718">
        <f>+landbouw!I12</f>
        <v>0</v>
      </c>
      <c r="K48" s="718">
        <f>+landbouw!J12</f>
        <v>103.6192779453042</v>
      </c>
      <c r="L48" s="718">
        <f>+landbouw!K12</f>
        <v>0</v>
      </c>
      <c r="M48" s="718">
        <f>+landbouw!L12</f>
        <v>0</v>
      </c>
      <c r="N48" s="718">
        <f>+landbouw!M12</f>
        <v>0</v>
      </c>
      <c r="O48" s="718">
        <f>+landbouw!N12</f>
        <v>0</v>
      </c>
      <c r="P48" s="718">
        <f>+landbouw!O12</f>
        <v>0</v>
      </c>
      <c r="Q48" s="719">
        <f>+landbouw!P12</f>
        <v>0</v>
      </c>
      <c r="R48" s="761">
        <f ca="1">SUM(C48:Q48)</f>
        <v>2745.8583082478895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6361.0675493859062</v>
      </c>
      <c r="D53" s="773">
        <f t="shared" ref="D53:Q53" ca="1" si="6">D41+D46+D48</f>
        <v>0</v>
      </c>
      <c r="E53" s="773">
        <f t="shared" ca="1" si="6"/>
        <v>11439.297008624697</v>
      </c>
      <c r="F53" s="773">
        <f t="shared" si="6"/>
        <v>654.88641123412629</v>
      </c>
      <c r="G53" s="773">
        <f t="shared" ca="1" si="6"/>
        <v>7459.0499465617249</v>
      </c>
      <c r="H53" s="773">
        <f t="shared" si="6"/>
        <v>26811.414626121081</v>
      </c>
      <c r="I53" s="773">
        <f t="shared" si="6"/>
        <v>4093.3966258623873</v>
      </c>
      <c r="J53" s="773">
        <f t="shared" si="6"/>
        <v>0</v>
      </c>
      <c r="K53" s="773">
        <f t="shared" si="6"/>
        <v>107.37348540926607</v>
      </c>
      <c r="L53" s="773">
        <f t="shared" si="6"/>
        <v>0</v>
      </c>
      <c r="M53" s="773">
        <f t="shared" ca="1" si="6"/>
        <v>0</v>
      </c>
      <c r="N53" s="773">
        <f t="shared" si="6"/>
        <v>0</v>
      </c>
      <c r="O53" s="773">
        <f t="shared" ca="1" si="6"/>
        <v>0</v>
      </c>
      <c r="P53" s="773">
        <f>P41+P46+P48</f>
        <v>0</v>
      </c>
      <c r="Q53" s="774">
        <f t="shared" si="6"/>
        <v>0</v>
      </c>
      <c r="R53" s="775">
        <f ca="1">R41+R46+R48</f>
        <v>56926.48565319919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0.18986668739392248</v>
      </c>
      <c r="D55" s="836">
        <f t="shared" ca="1" si="7"/>
        <v>0</v>
      </c>
      <c r="E55" s="836">
        <f t="shared" ca="1" si="7"/>
        <v>0.20199999999999999</v>
      </c>
      <c r="F55" s="836">
        <f t="shared" si="7"/>
        <v>0.22699999999999998</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4719.6988973075777</v>
      </c>
      <c r="C66" s="795">
        <f>'lokale energieproductie'!B6</f>
        <v>4719.6988973075777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4719.6988973075777</v>
      </c>
      <c r="C69" s="803">
        <f>SUM(C64:C68)</f>
        <v>4719.6988973075777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19698.905263670458</v>
      </c>
      <c r="C4" s="478">
        <f>huishoudens!C8</f>
        <v>0</v>
      </c>
      <c r="D4" s="478">
        <f>huishoudens!D8</f>
        <v>42609.162017443996</v>
      </c>
      <c r="E4" s="478">
        <f>huishoudens!E8</f>
        <v>2076.5433612685015</v>
      </c>
      <c r="F4" s="478">
        <f>huishoudens!F8</f>
        <v>16978.652511423039</v>
      </c>
      <c r="G4" s="478">
        <f>huishoudens!G8</f>
        <v>0</v>
      </c>
      <c r="H4" s="478">
        <f>huishoudens!H8</f>
        <v>0</v>
      </c>
      <c r="I4" s="478">
        <f>huishoudens!I8</f>
        <v>0</v>
      </c>
      <c r="J4" s="478">
        <f>huishoudens!J8</f>
        <v>0</v>
      </c>
      <c r="K4" s="478">
        <f>huishoudens!K8</f>
        <v>0</v>
      </c>
      <c r="L4" s="478">
        <f>huishoudens!L8</f>
        <v>0</v>
      </c>
      <c r="M4" s="478">
        <f>huishoudens!M8</f>
        <v>0</v>
      </c>
      <c r="N4" s="478">
        <f>huishoudens!N8</f>
        <v>24463.787145940525</v>
      </c>
      <c r="O4" s="478">
        <f>huishoudens!O8</f>
        <v>286.09000000000003</v>
      </c>
      <c r="P4" s="479">
        <f>huishoudens!P8</f>
        <v>1163.0666666666666</v>
      </c>
      <c r="Q4" s="480">
        <f>SUM(B4:P4)</f>
        <v>107276.20696641319</v>
      </c>
    </row>
    <row r="5" spans="1:17">
      <c r="A5" s="477" t="s">
        <v>156</v>
      </c>
      <c r="B5" s="478">
        <f ca="1">tertiair!B16</f>
        <v>8489.2127061959982</v>
      </c>
      <c r="C5" s="478">
        <f ca="1">tertiair!C16</f>
        <v>0</v>
      </c>
      <c r="D5" s="478">
        <f ca="1">tertiair!D16</f>
        <v>11033.702139130659</v>
      </c>
      <c r="E5" s="478">
        <f>tertiair!E16</f>
        <v>179.59769401555505</v>
      </c>
      <c r="F5" s="478">
        <f ca="1">tertiair!F16</f>
        <v>2294.0797397385186</v>
      </c>
      <c r="G5" s="478">
        <f>tertiair!G16</f>
        <v>0</v>
      </c>
      <c r="H5" s="478">
        <f>tertiair!H16</f>
        <v>0</v>
      </c>
      <c r="I5" s="478">
        <f>tertiair!I16</f>
        <v>0</v>
      </c>
      <c r="J5" s="478">
        <f>tertiair!J16</f>
        <v>0</v>
      </c>
      <c r="K5" s="478">
        <f>tertiair!K16</f>
        <v>0</v>
      </c>
      <c r="L5" s="478">
        <f ca="1">tertiair!L16</f>
        <v>0</v>
      </c>
      <c r="M5" s="478">
        <f>tertiair!M16</f>
        <v>0</v>
      </c>
      <c r="N5" s="478">
        <f ca="1">tertiair!N16</f>
        <v>1243.0088885735981</v>
      </c>
      <c r="O5" s="478">
        <f>tertiair!O16</f>
        <v>7.8166666666666664</v>
      </c>
      <c r="P5" s="479">
        <f>tertiair!P16</f>
        <v>38.133333333333333</v>
      </c>
      <c r="Q5" s="477">
        <f t="shared" ref="Q5:Q13" ca="1" si="0">SUM(B5:P5)</f>
        <v>23285.551167654328</v>
      </c>
    </row>
    <row r="6" spans="1:17">
      <c r="A6" s="477" t="s">
        <v>194</v>
      </c>
      <c r="B6" s="478">
        <f>'openbare verlichting'!B8</f>
        <v>542.73800000000006</v>
      </c>
      <c r="C6" s="478"/>
      <c r="D6" s="478"/>
      <c r="E6" s="478"/>
      <c r="F6" s="478"/>
      <c r="G6" s="478"/>
      <c r="H6" s="478"/>
      <c r="I6" s="478"/>
      <c r="J6" s="478"/>
      <c r="K6" s="478"/>
      <c r="L6" s="478"/>
      <c r="M6" s="478"/>
      <c r="N6" s="478"/>
      <c r="O6" s="478"/>
      <c r="P6" s="479"/>
      <c r="Q6" s="477">
        <f t="shared" si="0"/>
        <v>542.73800000000006</v>
      </c>
    </row>
    <row r="7" spans="1:17">
      <c r="A7" s="477" t="s">
        <v>112</v>
      </c>
      <c r="B7" s="478">
        <f>landbouw!B8</f>
        <v>2033.2265299400001</v>
      </c>
      <c r="C7" s="478">
        <f>landbouw!C8</f>
        <v>0</v>
      </c>
      <c r="D7" s="478">
        <f>landbouw!D8</f>
        <v>1287.1137641883402</v>
      </c>
      <c r="E7" s="478">
        <f>landbouw!E8</f>
        <v>52.429105519845891</v>
      </c>
      <c r="F7" s="478">
        <f>landbouw!F8</f>
        <v>7431.8301761138127</v>
      </c>
      <c r="G7" s="478">
        <f>landbouw!G8</f>
        <v>0</v>
      </c>
      <c r="H7" s="478">
        <f>landbouw!H8</f>
        <v>0</v>
      </c>
      <c r="I7" s="478">
        <f>landbouw!I8</f>
        <v>0</v>
      </c>
      <c r="J7" s="478">
        <f>landbouw!J8</f>
        <v>292.70982470424917</v>
      </c>
      <c r="K7" s="478">
        <f>landbouw!K8</f>
        <v>0</v>
      </c>
      <c r="L7" s="478">
        <f>landbouw!L8</f>
        <v>0</v>
      </c>
      <c r="M7" s="478">
        <f>landbouw!M8</f>
        <v>0</v>
      </c>
      <c r="N7" s="478">
        <f>landbouw!N8</f>
        <v>0</v>
      </c>
      <c r="O7" s="478">
        <f>landbouw!O8</f>
        <v>0</v>
      </c>
      <c r="P7" s="479">
        <f>landbouw!P8</f>
        <v>0</v>
      </c>
      <c r="Q7" s="477">
        <f t="shared" si="0"/>
        <v>11097.309400466247</v>
      </c>
    </row>
    <row r="8" spans="1:17">
      <c r="A8" s="477" t="s">
        <v>638</v>
      </c>
      <c r="B8" s="478">
        <f>industrie!B18</f>
        <v>2711.1600540320001</v>
      </c>
      <c r="C8" s="478">
        <f>industrie!C18</f>
        <v>0</v>
      </c>
      <c r="D8" s="478">
        <f>industrie!D18</f>
        <v>1639.6891861774598</v>
      </c>
      <c r="E8" s="478">
        <f>industrie!E18</f>
        <v>329.87551080728053</v>
      </c>
      <c r="F8" s="478">
        <f>industrie!F18</f>
        <v>1231.9542265138582</v>
      </c>
      <c r="G8" s="478">
        <f>industrie!G18</f>
        <v>0</v>
      </c>
      <c r="H8" s="478">
        <f>industrie!H18</f>
        <v>0</v>
      </c>
      <c r="I8" s="478">
        <f>industrie!I18</f>
        <v>0</v>
      </c>
      <c r="J8" s="478">
        <f>industrie!J18</f>
        <v>10.605105830400746</v>
      </c>
      <c r="K8" s="478">
        <f>industrie!K18</f>
        <v>0</v>
      </c>
      <c r="L8" s="478">
        <f>industrie!L18</f>
        <v>0</v>
      </c>
      <c r="M8" s="478">
        <f>industrie!M18</f>
        <v>0</v>
      </c>
      <c r="N8" s="478">
        <f>industrie!N18</f>
        <v>706.33823090857572</v>
      </c>
      <c r="O8" s="478">
        <f>industrie!O18</f>
        <v>0</v>
      </c>
      <c r="P8" s="479">
        <f>industrie!P18</f>
        <v>0</v>
      </c>
      <c r="Q8" s="477">
        <f t="shared" si="0"/>
        <v>6629.6223142695744</v>
      </c>
    </row>
    <row r="9" spans="1:17" s="483" customFormat="1">
      <c r="A9" s="481" t="s">
        <v>564</v>
      </c>
      <c r="B9" s="482">
        <f>transport!B14</f>
        <v>27.567426663268272</v>
      </c>
      <c r="C9" s="482">
        <f>transport!C14</f>
        <v>0</v>
      </c>
      <c r="D9" s="482">
        <f>transport!D14</f>
        <v>60.516104072909123</v>
      </c>
      <c r="E9" s="482">
        <f>transport!E14</f>
        <v>246.51649241580517</v>
      </c>
      <c r="F9" s="482">
        <f>transport!F14</f>
        <v>0</v>
      </c>
      <c r="G9" s="482">
        <f>transport!G14</f>
        <v>99755.200147799173</v>
      </c>
      <c r="H9" s="482">
        <f>transport!H14</f>
        <v>16439.34387896541</v>
      </c>
      <c r="I9" s="482">
        <f>transport!I14</f>
        <v>0</v>
      </c>
      <c r="J9" s="482">
        <f>transport!J14</f>
        <v>0</v>
      </c>
      <c r="K9" s="482">
        <f>transport!K14</f>
        <v>0</v>
      </c>
      <c r="L9" s="482">
        <f>transport!L14</f>
        <v>0</v>
      </c>
      <c r="M9" s="482">
        <f>transport!M14</f>
        <v>3635.2361379692024</v>
      </c>
      <c r="N9" s="482">
        <f>transport!N14</f>
        <v>0</v>
      </c>
      <c r="O9" s="482">
        <f>transport!O14</f>
        <v>0</v>
      </c>
      <c r="P9" s="482">
        <f>transport!P14</f>
        <v>0</v>
      </c>
      <c r="Q9" s="481">
        <f>SUM(B9:P9)</f>
        <v>120164.38018788576</v>
      </c>
    </row>
    <row r="10" spans="1:17">
      <c r="A10" s="477" t="s">
        <v>554</v>
      </c>
      <c r="B10" s="478">
        <f>transport!B54</f>
        <v>0</v>
      </c>
      <c r="C10" s="478">
        <f>transport!C54</f>
        <v>0</v>
      </c>
      <c r="D10" s="478">
        <f>transport!D54</f>
        <v>0</v>
      </c>
      <c r="E10" s="478">
        <f>transport!E54</f>
        <v>0</v>
      </c>
      <c r="F10" s="478">
        <f>transport!F54</f>
        <v>0</v>
      </c>
      <c r="G10" s="478">
        <f>transport!G54</f>
        <v>662.08309609999139</v>
      </c>
      <c r="H10" s="478">
        <f>transport!H54</f>
        <v>0</v>
      </c>
      <c r="I10" s="478">
        <f>transport!I54</f>
        <v>0</v>
      </c>
      <c r="J10" s="478">
        <f>transport!J54</f>
        <v>0</v>
      </c>
      <c r="K10" s="478">
        <f>transport!K54</f>
        <v>0</v>
      </c>
      <c r="L10" s="478">
        <f>transport!L54</f>
        <v>0</v>
      </c>
      <c r="M10" s="478">
        <f>transport!M54</f>
        <v>20.536336440578282</v>
      </c>
      <c r="N10" s="478">
        <f>transport!N54</f>
        <v>0</v>
      </c>
      <c r="O10" s="478">
        <f>transport!O54</f>
        <v>0</v>
      </c>
      <c r="P10" s="479">
        <f>transport!P54</f>
        <v>0</v>
      </c>
      <c r="Q10" s="477">
        <f t="shared" si="0"/>
        <v>682.61943254056973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33502.809980501726</v>
      </c>
      <c r="C14" s="488">
        <f t="shared" ref="C14:Q14" ca="1" si="1">SUM(C4:C13)</f>
        <v>0</v>
      </c>
      <c r="D14" s="488">
        <f t="shared" ca="1" si="1"/>
        <v>56630.183211013355</v>
      </c>
      <c r="E14" s="488">
        <f t="shared" si="1"/>
        <v>2884.9621640269884</v>
      </c>
      <c r="F14" s="488">
        <f t="shared" ca="1" si="1"/>
        <v>27936.516653789229</v>
      </c>
      <c r="G14" s="488">
        <f t="shared" si="1"/>
        <v>100417.28324389916</v>
      </c>
      <c r="H14" s="488">
        <f t="shared" si="1"/>
        <v>16439.34387896541</v>
      </c>
      <c r="I14" s="488">
        <f t="shared" si="1"/>
        <v>0</v>
      </c>
      <c r="J14" s="488">
        <f t="shared" si="1"/>
        <v>303.31493053464993</v>
      </c>
      <c r="K14" s="488">
        <f t="shared" si="1"/>
        <v>0</v>
      </c>
      <c r="L14" s="488">
        <f t="shared" ca="1" si="1"/>
        <v>0</v>
      </c>
      <c r="M14" s="488">
        <f t="shared" si="1"/>
        <v>3655.7724744097809</v>
      </c>
      <c r="N14" s="488">
        <f t="shared" ca="1" si="1"/>
        <v>26413.134265422697</v>
      </c>
      <c r="O14" s="488">
        <f t="shared" si="1"/>
        <v>293.90666666666669</v>
      </c>
      <c r="P14" s="489">
        <f t="shared" si="1"/>
        <v>1201.2</v>
      </c>
      <c r="Q14" s="489">
        <f t="shared" ca="1" si="1"/>
        <v>269678.42746922962</v>
      </c>
    </row>
    <row r="16" spans="1:17">
      <c r="A16" s="491" t="s">
        <v>559</v>
      </c>
      <c r="B16" s="841">
        <f ca="1">huishoudens!B10</f>
        <v>0.18986668739392246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3740.1658876998126</v>
      </c>
      <c r="C21" s="478">
        <f t="shared" ref="C21:C30" ca="1" si="3">C4*$C$16</f>
        <v>0</v>
      </c>
      <c r="D21" s="478">
        <f t="shared" ref="D21:D30" si="4">D4*$D$16</f>
        <v>8607.0507275236869</v>
      </c>
      <c r="E21" s="478">
        <f t="shared" ref="E21:E30" si="5">E4*$E$16</f>
        <v>471.37534300794988</v>
      </c>
      <c r="F21" s="478">
        <f t="shared" ref="F21:F30" si="6">F4*$F$16</f>
        <v>4533.3002205499515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17351.892178781403</v>
      </c>
    </row>
    <row r="22" spans="1:17">
      <c r="A22" s="477" t="s">
        <v>156</v>
      </c>
      <c r="B22" s="478">
        <f t="shared" ca="1" si="2"/>
        <v>1611.8186951078301</v>
      </c>
      <c r="C22" s="478">
        <f t="shared" ca="1" si="3"/>
        <v>0</v>
      </c>
      <c r="D22" s="478">
        <f t="shared" ca="1" si="4"/>
        <v>2228.8078321043931</v>
      </c>
      <c r="E22" s="478">
        <f t="shared" si="5"/>
        <v>40.768676541531001</v>
      </c>
      <c r="F22" s="478">
        <f t="shared" ca="1" si="6"/>
        <v>612.51929051018453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4493.9144942639386</v>
      </c>
    </row>
    <row r="23" spans="1:17">
      <c r="A23" s="477" t="s">
        <v>194</v>
      </c>
      <c r="B23" s="478">
        <f t="shared" ca="1" si="2"/>
        <v>103.04786618280269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103.04786618280269</v>
      </c>
    </row>
    <row r="24" spans="1:17">
      <c r="A24" s="477" t="s">
        <v>112</v>
      </c>
      <c r="B24" s="478">
        <f t="shared" ca="1" si="2"/>
        <v>386.0419859611477</v>
      </c>
      <c r="C24" s="478">
        <f t="shared" ca="1" si="3"/>
        <v>0</v>
      </c>
      <c r="D24" s="478">
        <f t="shared" si="4"/>
        <v>259.99698036604474</v>
      </c>
      <c r="E24" s="478">
        <f t="shared" si="5"/>
        <v>11.901406953005017</v>
      </c>
      <c r="F24" s="478">
        <f t="shared" si="6"/>
        <v>1984.2986570223882</v>
      </c>
      <c r="G24" s="478">
        <f t="shared" si="7"/>
        <v>0</v>
      </c>
      <c r="H24" s="478">
        <f t="shared" si="8"/>
        <v>0</v>
      </c>
      <c r="I24" s="478">
        <f t="shared" si="9"/>
        <v>0</v>
      </c>
      <c r="J24" s="478">
        <f t="shared" si="10"/>
        <v>103.6192779453042</v>
      </c>
      <c r="K24" s="478">
        <f t="shared" si="11"/>
        <v>0</v>
      </c>
      <c r="L24" s="478">
        <f t="shared" si="12"/>
        <v>0</v>
      </c>
      <c r="M24" s="478">
        <f t="shared" si="13"/>
        <v>0</v>
      </c>
      <c r="N24" s="478">
        <f t="shared" si="14"/>
        <v>0</v>
      </c>
      <c r="O24" s="478">
        <f t="shared" si="15"/>
        <v>0</v>
      </c>
      <c r="P24" s="479">
        <f t="shared" si="16"/>
        <v>0</v>
      </c>
      <c r="Q24" s="477">
        <f t="shared" ca="1" si="17"/>
        <v>2745.8583082478895</v>
      </c>
    </row>
    <row r="25" spans="1:17">
      <c r="A25" s="477" t="s">
        <v>638</v>
      </c>
      <c r="B25" s="478">
        <f t="shared" ca="1" si="2"/>
        <v>514.7589784537837</v>
      </c>
      <c r="C25" s="478">
        <f t="shared" ca="1" si="3"/>
        <v>0</v>
      </c>
      <c r="D25" s="478">
        <f t="shared" si="4"/>
        <v>331.21721560784687</v>
      </c>
      <c r="E25" s="478">
        <f t="shared" si="5"/>
        <v>74.881740953252688</v>
      </c>
      <c r="F25" s="478">
        <f t="shared" si="6"/>
        <v>328.93177847920015</v>
      </c>
      <c r="G25" s="478">
        <f t="shared" si="7"/>
        <v>0</v>
      </c>
      <c r="H25" s="478">
        <f t="shared" si="8"/>
        <v>0</v>
      </c>
      <c r="I25" s="478">
        <f t="shared" si="9"/>
        <v>0</v>
      </c>
      <c r="J25" s="478">
        <f t="shared" si="10"/>
        <v>3.7542074639618637</v>
      </c>
      <c r="K25" s="478">
        <f t="shared" si="11"/>
        <v>0</v>
      </c>
      <c r="L25" s="478">
        <f t="shared" si="12"/>
        <v>0</v>
      </c>
      <c r="M25" s="478">
        <f t="shared" si="13"/>
        <v>0</v>
      </c>
      <c r="N25" s="478">
        <f t="shared" si="14"/>
        <v>0</v>
      </c>
      <c r="O25" s="478">
        <f t="shared" si="15"/>
        <v>0</v>
      </c>
      <c r="P25" s="479">
        <f t="shared" si="16"/>
        <v>0</v>
      </c>
      <c r="Q25" s="477">
        <f t="shared" ca="1" si="17"/>
        <v>1253.5439209580454</v>
      </c>
    </row>
    <row r="26" spans="1:17" s="483" customFormat="1">
      <c r="A26" s="481" t="s">
        <v>564</v>
      </c>
      <c r="B26" s="835">
        <f t="shared" ca="1" si="2"/>
        <v>5.2341359805296399</v>
      </c>
      <c r="C26" s="482">
        <f t="shared" ca="1" si="3"/>
        <v>0</v>
      </c>
      <c r="D26" s="482">
        <f t="shared" si="4"/>
        <v>12.224253022727643</v>
      </c>
      <c r="E26" s="482">
        <f t="shared" si="5"/>
        <v>55.95924377838778</v>
      </c>
      <c r="F26" s="482">
        <f t="shared" si="6"/>
        <v>0</v>
      </c>
      <c r="G26" s="482">
        <f t="shared" si="7"/>
        <v>26634.638439462382</v>
      </c>
      <c r="H26" s="482">
        <f t="shared" si="8"/>
        <v>4093.3966258623873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30801.452698106415</v>
      </c>
    </row>
    <row r="27" spans="1:17">
      <c r="A27" s="477" t="s">
        <v>554</v>
      </c>
      <c r="B27" s="478">
        <f t="shared" ca="1" si="2"/>
        <v>0</v>
      </c>
      <c r="C27" s="478">
        <f t="shared" ca="1" si="3"/>
        <v>0</v>
      </c>
      <c r="D27" s="478">
        <f t="shared" si="4"/>
        <v>0</v>
      </c>
      <c r="E27" s="478">
        <f t="shared" si="5"/>
        <v>0</v>
      </c>
      <c r="F27" s="478">
        <f t="shared" si="6"/>
        <v>0</v>
      </c>
      <c r="G27" s="478">
        <f t="shared" si="7"/>
        <v>176.77618665869772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176.77618665869772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6361.0675493859071</v>
      </c>
      <c r="C31" s="488">
        <f t="shared" ca="1" si="18"/>
        <v>0</v>
      </c>
      <c r="D31" s="488">
        <f t="shared" ca="1" si="18"/>
        <v>11439.297008624697</v>
      </c>
      <c r="E31" s="488">
        <f t="shared" si="18"/>
        <v>654.88641123412629</v>
      </c>
      <c r="F31" s="488">
        <f t="shared" ca="1" si="18"/>
        <v>7459.0499465617249</v>
      </c>
      <c r="G31" s="488">
        <f t="shared" si="18"/>
        <v>26811.414626121081</v>
      </c>
      <c r="H31" s="488">
        <f t="shared" si="18"/>
        <v>4093.3966258623873</v>
      </c>
      <c r="I31" s="488">
        <f t="shared" si="18"/>
        <v>0</v>
      </c>
      <c r="J31" s="488">
        <f t="shared" si="18"/>
        <v>107.37348540926607</v>
      </c>
      <c r="K31" s="488">
        <f t="shared" si="18"/>
        <v>0</v>
      </c>
      <c r="L31" s="488">
        <f t="shared" ca="1" si="18"/>
        <v>0</v>
      </c>
      <c r="M31" s="488">
        <f t="shared" si="18"/>
        <v>0</v>
      </c>
      <c r="N31" s="488">
        <f t="shared" ca="1" si="18"/>
        <v>0</v>
      </c>
      <c r="O31" s="488">
        <f t="shared" si="18"/>
        <v>0</v>
      </c>
      <c r="P31" s="489">
        <f t="shared" si="18"/>
        <v>0</v>
      </c>
      <c r="Q31" s="489">
        <f t="shared" ca="1" si="18"/>
        <v>56926.485653199197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0.18986668739392246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0.18986668739392246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0.18986668739392246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2018-06-27T09:41:13Z</dcterms:modified>
</cp:coreProperties>
</file>