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N16" i="16"/>
  <c r="D6" i="17"/>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M16" i="18"/>
  <c r="M19"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F22" i="16"/>
  <c r="G39" i="14" s="1"/>
  <c r="G41" s="1"/>
  <c r="N22" i="16"/>
  <c r="O39" i="14" s="1"/>
  <c r="O41" s="1"/>
  <c r="F8" i="48"/>
  <c r="Q4"/>
  <c r="N22"/>
  <c r="R11" i="14"/>
  <c r="J21" i="48"/>
  <c r="C10" i="13" l="1"/>
  <c r="C16" i="48" s="1"/>
  <c r="C30" s="1"/>
  <c r="C16" i="22"/>
  <c r="C29" i="20"/>
  <c r="C20" i="16"/>
  <c r="C22" s="1"/>
  <c r="D39" i="14" s="1"/>
  <c r="C10" i="17"/>
  <c r="C12" s="1"/>
  <c r="D48" i="14" s="1"/>
  <c r="C56" i="22"/>
  <c r="C58" s="1"/>
  <c r="D44" i="14" s="1"/>
  <c r="D46" s="1"/>
  <c r="C17" i="49"/>
  <c r="C17" i="19"/>
  <c r="C19" s="1"/>
  <c r="D35" i="14" s="1"/>
  <c r="C18" i="15"/>
  <c r="C20" s="1"/>
  <c r="D36" i="14" s="1"/>
  <c r="J8" i="48"/>
  <c r="J25" s="1"/>
  <c r="Q5"/>
  <c r="O13" i="14"/>
  <c r="O15" s="1"/>
  <c r="F13"/>
  <c r="F15" s="1"/>
  <c r="F23" s="1"/>
  <c r="N25" i="48"/>
  <c r="N31" s="1"/>
  <c r="N14"/>
  <c r="E25"/>
  <c r="E31" s="1"/>
  <c r="E14"/>
  <c r="K13" i="14"/>
  <c r="K15" s="1"/>
  <c r="K23" s="1"/>
  <c r="K55" s="1"/>
  <c r="H55"/>
  <c r="E55"/>
  <c r="C78"/>
  <c r="C81" s="1"/>
  <c r="J14" i="48"/>
  <c r="J31"/>
  <c r="Q8"/>
  <c r="Q14" s="1"/>
  <c r="R19" i="14"/>
  <c r="R20" s="1"/>
  <c r="H14" i="48"/>
  <c r="G31"/>
  <c r="H26"/>
  <c r="H31" s="1"/>
  <c r="F55" i="14"/>
  <c r="O53"/>
  <c r="G53"/>
  <c r="G55" s="1"/>
  <c r="O69" s="1"/>
  <c r="B9" i="6" s="1"/>
  <c r="B12" s="1"/>
  <c r="M53" i="14"/>
  <c r="M55" s="1"/>
  <c r="C12" i="13"/>
  <c r="D37" i="14" s="1"/>
  <c r="C22" i="48"/>
  <c r="C25"/>
  <c r="C29"/>
  <c r="C21"/>
  <c r="R13" i="14"/>
  <c r="R15" s="1"/>
  <c r="F25" i="48"/>
  <c r="F31" s="1"/>
  <c r="F14"/>
  <c r="D41" i="14" l="1"/>
  <c r="D53" s="1"/>
  <c r="D55" s="1"/>
  <c r="C26" i="48"/>
  <c r="C31" s="1"/>
  <c r="C24"/>
  <c r="C23"/>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<sst xmlns="http://schemas.openxmlformats.org/spreadsheetml/2006/main" count="1969" uniqueCount="836">
  <si>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</si>
  <si>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</si>
  <si>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</si>
  <si>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</si>
  <si>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</si>
  <si>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</si>
  <si>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</si>
  <si>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</si>
  <si>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</si>
  <si>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</si>
  <si>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</si>
  <si>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</si>
  <si>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</si>
  <si>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</si>
  <si>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</si>
  <si>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</si>
  <si>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</si>
  <si>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</si>
  <si>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</si>
  <si>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</si>
  <si>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</si>
  <si>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</si>
  <si>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</si>
  <si>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</si>
  <si>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</si>
  <si>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</si>
  <si>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</si>
  <si>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</si>
  <si>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</si>
  <si>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</si>
  <si>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</si>
  <si>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</si>
  <si>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</si>
  <si>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</si>
  <si>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</si>
  <si>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</si>
  <si>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</si>
  <si>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</si>
  <si>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</si>
  <si>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</si>
  <si>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</si>
  <si>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</si>
  <si>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</si>
  <si>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</si>
  <si>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</si>
  <si>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</si>
  <si>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</si>
  <si>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</si>
  <si>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</si>
  <si>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</si>
  <si>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</si>
  <si>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</si>
  <si>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</si>
  <si>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</si>
  <si>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</si>
  <si>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</si>
  <si>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</si>
  <si>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</si>
  <si>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</si>
  <si>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</si>
  <si>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</si>
  <si>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</si>
  <si>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</si>
  <si>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</si>
  <si>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</si>
  <si>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</si>
  <si>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</si>
  <si>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</si>
  <si>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</si>
  <si>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</si>
  <si>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</si>
  <si>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</si>
  <si>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</si>
  <si>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</si>
  <si>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</si>
  <si>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</si>
  <si>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</si>
  <si>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</si>
  <si>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</si>
  <si>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</si>
  <si>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</si>
  <si>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</si>
  <si>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</si>
  <si>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</si>
  <si>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</si>
  <si>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</si>
  <si>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</si>
  <si>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</si>
  <si>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</si>
  <si>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</si>
  <si>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</si>
  <si>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</si>
  <si>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</si>
  <si>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</si>
  <si>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</si>
  <si>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</si>
  <si>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</si>
  <si>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</si>
  <si>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</si>
  <si>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</si>
  <si>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</si>
  <si>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</si>
  <si>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</si>
  <si>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</si>
  <si>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</si>
  <si>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</si>
  <si>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</si>
  <si>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</si>
  <si>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</si>
  <si>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</si>
  <si>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</si>
  <si>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</si>
  <si>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</si>
  <si>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</si>
  <si>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</si>
  <si>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</si>
  <si>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</si>
  <si>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</si>
  <si>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</si>
  <si>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</si>
  <si>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</si>
  <si>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</si>
  <si>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</si>
  <si>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</si>
  <si>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</si>
  <si>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</si>
  <si>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</si>
  <si>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</si>
  <si>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</si>
  <si>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</si>
  <si>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</si>
  <si>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</si>
  <si>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</si>
  <si>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</si>
  <si>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</si>
  <si>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</si>
  <si>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</si>
  <si>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</si>
  <si>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</si>
  <si>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</si>
  <si>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</si>
  <si>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</si>
  <si>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</si>
  <si>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</si>
  <si>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</si>
  <si>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</si>
  <si>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</si>
  <si>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</si>
  <si>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</si>
  <si>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</si>
  <si>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</si>
  <si>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</si>
  <si>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</si>
  <si>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</si>
  <si>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</si>
  <si>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</si>
  <si>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</si>
  <si>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</si>
  <si>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</si>
  <si>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</si>
  <si>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</si>
  <si>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</si>
  <si>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</si>
  <si>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</si>
  <si>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</si>
  <si>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</si>
  <si>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</si>
  <si>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</si>
  <si>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</si>
  <si>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</si>
  <si>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</si>
  <si>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</si>
  <si>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</si>
  <si>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</si>
  <si>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</si>
  <si>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</si>
  <si>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</si>
  <si>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</si>
  <si>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</si>
  <si>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</si>
  <si>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</si>
  <si>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</si>
  <si>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</si>
  <si>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</si>
  <si>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</si>
  <si>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</si>
  <si>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</si>
  <si>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</si>
  <si>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</si>
  <si>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</si>
  <si>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</si>
  <si>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</si>
  <si>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</si>
  <si>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</si>
  <si>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</si>
  <si>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</si>
  <si>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</si>
  <si>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</si>
  <si>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</si>
  <si>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</si>
  <si>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</si>
  <si>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</si>
  <si>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</si>
  <si>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</si>
  <si>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</si>
  <si>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</si>
  <si>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</si>
  <si>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</si>
  <si>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</si>
  <si>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</si>
  <si>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</si>
  <si>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</si>
  <si>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</si>
  <si>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</si>
  <si>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</si>
  <si>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</si>
  <si>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</si>
  <si>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</si>
  <si>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</si>
  <si>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</si>
  <si>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</si>
  <si>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</si>
  <si>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</si>
  <si>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</si>
  <si>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</si>
  <si>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</si>
  <si>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</si>
  <si>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</si>
  <si>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</si>
  <si>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</si>
  <si>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</si>
  <si>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</si>
  <si>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</si>
  <si>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</si>
  <si>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</si>
  <si>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</si>
  <si>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</si>
  <si>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</si>
  <si>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</si>
  <si>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</si>
  <si>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</si>
  <si>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</si>
  <si>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</si>
  <si>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</si>
  <si>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</si>
  <si>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</si>
  <si>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</si>
  <si>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</si>
  <si>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</si>
  <si>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</si>
  <si>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</si>
  <si>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</si>
  <si>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</si>
  <si>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</si>
  <si>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</si>
  <si>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</si>
  <si>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</si>
  <si>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</si>
  <si>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</si>
  <si>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</si>
  <si>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</si>
  <si>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</si>
  <si>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</si>
  <si>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</si>
  <si>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</si>
  <si>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</si>
  <si>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</si>
  <si>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</si>
  <si>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</si>
  <si>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</si>
  <si>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</si>
  <si>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</si>
  <si>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</si>
  <si>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</si>
  <si>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</si>
  <si>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</si>
  <si>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</si>
  <si>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</si>
  <si>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</si>
  <si>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</si>
  <si>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</si>
  <si>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</si>
  <si>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</si>
  <si>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</si>
  <si>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</si>
  <si>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</si>
  <si>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</si>
  <si>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</si>
  <si>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</si>
  <si>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</si>
  <si>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</si>
  <si>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</si>
  <si>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</si>
  <si>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</si>
  <si>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</si>
  <si>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</si>
  <si>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</si>
  <si>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</si>
  <si>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</si>
  <si>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</si>
  <si>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</si>
  <si>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</si>
  <si>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</si>
  <si>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</si>
  <si>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</si>
  <si>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</si>
  <si>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</si>
  <si>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</si>
  <si>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</si>
  <si>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</si>
  <si>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</si>
  <si>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</si>
  <si>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</si>
  <si>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</si>
  <si>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</si>
  <si>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</si>
  <si>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</si>
  <si>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</si>
  <si>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</si>
  <si>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</si>
  <si>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</si>
  <si>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</si>
  <si>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</si>
  <si>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</si>
  <si>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</si>
  <si>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</si>
  <si>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</si>
  <si>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</si>
  <si>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</si>
  <si>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</si>
  <si>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</si>
  <si>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</si>
  <si>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</si>
  <si>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</si>
  <si>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</si>
  <si>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</si>
  <si>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</si>
  <si>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</si>
  <si>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</si>
  <si>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</si>
  <si>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</si>
  <si>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</si>
  <si>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</si>
  <si>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</si>
  <si>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</si>
  <si>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</si>
  <si>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</si>
  <si>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</si>
  <si>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</si>
  <si>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</si>
  <si>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</si>
  <si>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</si>
  <si>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</si>
  <si>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</si>
  <si>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</si>
  <si>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</si>
  <si>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</si>
  <si>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</si>
  <si>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</si>
  <si>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</si>
  <si>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</si>
  <si>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</si>
  <si>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</si>
  <si>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</si>
  <si>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</si>
  <si>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</si>
  <si>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</si>
  <si>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</si>
  <si>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</si>
  <si>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</si>
  <si>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</si>
  <si>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</si>
  <si>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</si>
  <si>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</si>
  <si>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</si>
  <si>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</si>
  <si>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</si>
  <si>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</si>
  <si>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</si>
  <si>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</si>
  <si>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</si>
  <si>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</si>
  <si>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</si>
  <si>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</si>
  <si>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</si>
  <si>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</si>
  <si>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</si>
  <si>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</si>
  <si>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</si>
  <si>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</si>
  <si>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</si>
  <si>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</si>
  <si>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</si>
  <si>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</si>
  <si>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</si>
  <si>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</si>
  <si>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</si>
  <si>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</si>
  <si>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</si>
  <si>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</si>
  <si>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</si>
  <si>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</si>
  <si>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</si>
  <si>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</si>
  <si>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</si>
  <si>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</si>
  <si>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</si>
  <si>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</si>
  <si>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</si>
  <si>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</si>
  <si>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</si>
  <si>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</si>
  <si>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</si>
  <si>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</si>
  <si>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</si>
  <si>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</si>
  <si>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</si>
  <si>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</si>
  <si>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</si>
  <si>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</si>
  <si>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</si>
  <si>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</si>
  <si>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</si>
  <si>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</si>
  <si>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</si>
  <si>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</si>
  <si>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</si>
  <si>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</si>
  <si>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</si>
  <si>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</si>
  <si>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</si>
  <si>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</si>
  <si>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</si>
  <si>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</si>
  <si>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</si>
  <si>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</si>
  <si>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</si>
  <si>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</si>
  <si>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</si>
  <si>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</si>
  <si>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</si>
  <si>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</si>
  <si>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</si>
  <si>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</si>
  <si>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</si>
  <si>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</si>
  <si>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</si>
  <si>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</si>
  <si>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</si>
  <si>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</si>
  <si>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</si>
  <si>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</si>
  <si>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</si>
  <si>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</si>
  <si>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</si>
  <si>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</si>
  <si>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</si>
  <si>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</si>
  <si>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</si>
  <si>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</si>
  <si>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</si>
  <si>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</si>
  <si>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</si>
  <si>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</si>
  <si>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</si>
  <si>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</si>
  <si>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</si>
  <si>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</si>
  <si>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</si>
  <si>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</si>
  <si>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</si>
  <si>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</si>
  <si>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</si>
  <si>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</si>
  <si>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</si>
  <si>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</si>
  <si>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</si>
  <si>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</si>
  <si>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</si>
  <si>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</si>
  <si>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</si>
  <si>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</si>
  <si>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</si>
  <si>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</si>
  <si>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</si>
  <si>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</si>
  <si>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</si>
  <si>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</si>
  <si>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</si>
  <si>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</si>
  <si>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</si>
  <si>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</si>
  <si>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</si>
  <si>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</si>
  <si>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</si>
  <si>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</si>
  <si>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</si>
  <si>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</si>
  <si>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</si>
  <si>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</si>
  <si>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</si>
  <si>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</si>
  <si>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</si>
  <si>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</si>
  <si>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</si>
  <si>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</si>
  <si>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</si>
  <si>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</si>
  <si>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</si>
  <si>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</si>
  <si>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</si>
  <si>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</si>
  <si>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</si>
  <si>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</si>
  <si>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</si>
  <si>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</si>
  <si>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</si>
  <si>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</si>
  <si>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</si>
  <si>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</si>
  <si>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</si>
  <si>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</si>
  <si>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</si>
  <si>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</si>
  <si>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</si>
  <si>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</si>
  <si>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</si>
  <si>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</si>
  <si>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</si>
  <si>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</si>
  <si>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</si>
  <si>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</si>
  <si>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</si>
  <si>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</si>
  <si>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</si>
  <si>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</si>
  <si>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</si>
  <si>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</si>
  <si>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</si>
  <si>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</si>
  <si>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</si>
  <si>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</si>
  <si>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</si>
  <si>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</si>
  <si>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</si>
  <si>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</si>
  <si>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</si>
  <si>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</si>
  <si>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</si>
  <si>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</si>
  <si>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</si>
  <si>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</si>
  <si>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</si>
  <si>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</si>
  <si>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</si>
  <si>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</si>
  <si>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</si>
  <si>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</si>
  <si>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</si>
  <si>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</si>
  <si>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</si>
  <si>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</si>
  <si>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</si>
  <si>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</si>
  <si>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</si>
  <si>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</si>
  <si>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</si>
  <si>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</si>
  <si>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</si>
  <si>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</si>
  <si>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</si>
  <si>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</si>
  <si>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</si>
  <si>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</si>
  <si>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</si>
  <si>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</si>
  <si>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</si>
  <si>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</si>
  <si>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</si>
  <si>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</si>
  <si>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</si>
  <si>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</si>
  <si>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</si>
  <si>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</si>
  <si>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</si>
  <si>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</si>
  <si>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</si>
  <si>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</si>
  <si>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</si>
  <si>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</si>
  <si>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</si>
  <si>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</si>
  <si>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</si>
  <si>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</si>
  <si>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</si>
  <si>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</si>
  <si>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</si>
  <si>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</si>
  <si>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</si>
  <si>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</si>
  <si>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</si>
  <si>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</si>
  <si>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</si>
  <si>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</si>
  <si>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</si>
  <si>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</si>
  <si>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</si>
  <si>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</si>
  <si>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</si>
  <si>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</si>
  <si>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</si>
  <si>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</si>
  <si>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</si>
  <si>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</si>
  <si>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</si>
  <si>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</si>
  <si>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</si>
  <si>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</si>
  <si>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</si>
  <si>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</si>
  <si>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</si>
  <si>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</si>
  <si>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</si>
  <si>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</si>
  <si>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</si>
  <si>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</si>
  <si>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</si>
  <si>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</si>
  <si>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</si>
  <si>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</si>
  <si>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</si>
  <si>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</si>
  <si>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</si>
  <si>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</si>
  <si>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</si>
  <si>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</si>
  <si>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</si>
  <si>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</si>
  <si>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</si>
  <si>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</si>
  <si>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</si>
  <si>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</si>
  <si>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</si>
  <si>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</si>
  <si>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</si>
  <si>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</si>
  <si>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</si>
  <si>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</si>
  <si>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</si>
  <si>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</si>
  <si>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</si>
  <si>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</si>
  <si>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</si>
  <si>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</si>
  <si>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</si>
  <si>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</si>
  <si>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</si>
  <si>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</si>
  <si>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</si>
  <si>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</si>
  <si>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</si>
  <si>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</si>
  <si>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</si>
  <si>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</si>
  <si>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</si>
  <si>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</si>
  <si>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</si>
  <si>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</si>
  <si>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</si>
  <si>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</si>
  <si>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</si>
  <si>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</si>
  <si>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</si>
  <si>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</si>
  <si>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</si>
  <si>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</si>
  <si>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</si>
  <si>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</si>
  <si>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</si>
  <si>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</si>
  <si>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</si>
  <si>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</si>
  <si>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</si>
  <si>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</si>
  <si>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</si>
  <si>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</si>
  <si>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</si>
  <si>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</si>
  <si>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</si>
  <si>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</si>
  <si>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</si>
  <si>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</si>
  <si>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</si>
  <si>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</si>
  <si>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</si>
  <si>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</si>
  <si>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</si>
  <si>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</si>
  <si>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</si>
  <si>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</si>
  <si>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</si>
  <si>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</si>
  <si>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</si>
  <si>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</si>
  <si>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</si>
  <si>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</si>
  <si>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</si>
  <si>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</si>
  <si>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</si>
  <si>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</si>
  <si>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</si>
  <si>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</si>
  <si>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</si>
  <si>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</si>
  <si>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</si>
  <si>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</si>
  <si>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</si>
  <si>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</si>
  <si>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</si>
  <si>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</si>
  <si>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</si>
  <si>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</si>
  <si>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</si>
  <si>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</si>
  <si>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</si>
  <si>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</si>
  <si>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</si>
  <si>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</si>
  <si>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</si>
  <si>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</si>
  <si>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</si>
  <si>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</si>
  <si>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</si>
  <si>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</si>
  <si>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</si>
  <si>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</si>
  <si>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</si>
  <si>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</si>
  <si>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</si>
  <si>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</si>
  <si>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</si>
  <si>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</si>
  <si>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</si>
  <si>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</si>
  <si>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</si>
  <si>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</si>
  <si>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</si>
  <si>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</si>
  <si>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</si>
  <si>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</si>
  <si>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</si>
  <si>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</si>
  <si>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</si>
  <si>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</si>
  <si>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</si>
  <si>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</si>
  <si>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</si>
  <si>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</si>
  <si>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</si>
  <si>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</si>
  <si>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</si>
  <si>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</si>
  <si>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</si>
  <si>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</si>
  <si>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</si>
  <si>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</si>
  <si>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</si>
  <si>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</si>
  <si>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</si>
  <si>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</si>
  <si>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</si>
  <si>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</si>
  <si>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</si>
  <si>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</si>
  <si>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</si>
  <si>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</si>
  <si>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</si>
  <si>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</si>
  <si>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</si>
  <si>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</si>
  <si>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</si>
  <si>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</si>
  <si>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</si>
  <si>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</si>
  <si>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</si>
  <si>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</si>
  <si>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</si>
  <si>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</si>
  <si>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</si>
  <si>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</si>
  <si>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</si>
  <si>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</si>
  <si>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</si>
  <si>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</si>
  <si>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</si>
  <si>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</si>
  <si>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</si>
  <si>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</si>
  <si>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</si>
  <si>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</si>
  <si>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</si>
  <si>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</si>
  <si>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</si>
  <si>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</si>
  <si>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</si>
  <si>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</si>
  <si>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</si>
  <si>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</si>
  <si>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</si>
  <si>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</si>
  <si>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13035</t>
  </si>
  <si>
    <t>RAVELS</t>
  </si>
  <si>
    <t>Paarden&amp;pony's 200 - 600 kg</t>
  </si>
  <si>
    <t>Paarden&amp;pony's &lt; 200 kg</t>
  </si>
  <si>
    <t>referentietaak LNE (2017); Jaarverslag De Lijn (2015)</t>
  </si>
  <si>
    <t>op basis van VEA (maart 2018) en Inventaris Hernieuwbare Energiebronnen (juni 2018)</t>
  </si>
  <si>
    <t>VEA (januari 2017)</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</si>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</sst>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148718.0515766099</c:v>
                </c:pt>
                <c:pt idx="1">
                  <c:v>28904.571780166276</c:v>
                </c:pt>
                <c:pt idx="2">
                  <c:v>988.61</c:v>
                </c:pt>
                <c:pt idx="3">
                  <c:v>135010.40906935208</c:v>
                </c:pt>
                <c:pt idx="4">
                  <c:v>69234.794198291027</c:v>
                </c:pt>
                <c:pt idx="5">
                  <c:v>66951.019779220616</c:v>
                </c:pt>
                <c:pt idx="6">
                  <c:v>1438.7403707526294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148718.0515766099</c:v>
                </c:pt>
                <c:pt idx="1">
                  <c:v>28904.571780166276</c:v>
                </c:pt>
                <c:pt idx="2">
                  <c:v>988.61</c:v>
                </c:pt>
                <c:pt idx="3">
                  <c:v>135010.40906935208</c:v>
                </c:pt>
                <c:pt idx="4">
                  <c:v>69234.794198291027</c:v>
                </c:pt>
                <c:pt idx="5">
                  <c:v>66951.019779220616</c:v>
                </c:pt>
                <c:pt idx="6">
                  <c:v>1438.7403707526294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25079.145275669533</c:v>
                </c:pt>
                <c:pt idx="1">
                  <c:v>5895.2971357155911</c:v>
                </c:pt>
                <c:pt idx="2">
                  <c:v>206.6798520895486</c:v>
                </c:pt>
                <c:pt idx="3">
                  <c:v>33104.301283833549</c:v>
                </c:pt>
                <c:pt idx="4">
                  <c:v>13376.199998200818</c:v>
                </c:pt>
                <c:pt idx="5">
                  <c:v>17127.091057483674</c:v>
                </c:pt>
                <c:pt idx="6">
                  <c:v>372.58686789356096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25079.145275669533</c:v>
                </c:pt>
                <c:pt idx="1">
                  <c:v>5895.2971357155911</c:v>
                </c:pt>
                <c:pt idx="2">
                  <c:v>206.6798520895486</c:v>
                </c:pt>
                <c:pt idx="3">
                  <c:v>33104.301283833549</c:v>
                </c:pt>
                <c:pt idx="4">
                  <c:v>13376.199998200818</c:v>
                </c:pt>
                <c:pt idx="5">
                  <c:v>17127.091057483674</c:v>
                </c:pt>
                <c:pt idx="6">
                  <c:v>372.58686789356096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13035</v>
      </c>
      <c r="B6" s="415"/>
      <c r="C6" s="416"/>
    </row>
    <row r="7" spans="1:7" s="413" customFormat="1" ht="15.75" customHeight="1">
      <c r="A7" s="417" t="str">
        <f>txtMunicipality</f>
        <v>RAVELS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5895</v>
      </c>
      <c r="C9" s="342">
        <v>6450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5038.3900000000003</v>
      </c>
    </row>
    <row r="15" spans="1:6">
      <c r="A15" s="348" t="s">
        <v>184</v>
      </c>
      <c r="B15" s="334">
        <v>17767</v>
      </c>
    </row>
    <row r="16" spans="1:6">
      <c r="A16" s="348" t="s">
        <v>6</v>
      </c>
      <c r="B16" s="334">
        <v>4042</v>
      </c>
    </row>
    <row r="17" spans="1:6">
      <c r="A17" s="348" t="s">
        <v>7</v>
      </c>
      <c r="B17" s="334">
        <v>602</v>
      </c>
    </row>
    <row r="18" spans="1:6">
      <c r="A18" s="348" t="s">
        <v>8</v>
      </c>
      <c r="B18" s="334">
        <v>2818</v>
      </c>
    </row>
    <row r="19" spans="1:6">
      <c r="A19" s="348" t="s">
        <v>9</v>
      </c>
      <c r="B19" s="334">
        <v>2253</v>
      </c>
    </row>
    <row r="20" spans="1:6">
      <c r="A20" s="348" t="s">
        <v>10</v>
      </c>
      <c r="B20" s="334">
        <v>1972</v>
      </c>
    </row>
    <row r="21" spans="1:6">
      <c r="A21" s="348" t="s">
        <v>11</v>
      </c>
      <c r="B21" s="334">
        <v>25580</v>
      </c>
    </row>
    <row r="22" spans="1:6">
      <c r="A22" s="348" t="s">
        <v>12</v>
      </c>
      <c r="B22" s="334">
        <v>62597</v>
      </c>
    </row>
    <row r="23" spans="1:6">
      <c r="A23" s="348" t="s">
        <v>13</v>
      </c>
      <c r="B23" s="334">
        <v>510</v>
      </c>
    </row>
    <row r="24" spans="1:6">
      <c r="A24" s="348" t="s">
        <v>14</v>
      </c>
      <c r="B24" s="334">
        <v>80</v>
      </c>
    </row>
    <row r="25" spans="1:6">
      <c r="A25" s="348" t="s">
        <v>15</v>
      </c>
      <c r="B25" s="334">
        <v>4681</v>
      </c>
    </row>
    <row r="26" spans="1:6">
      <c r="A26" s="348" t="s">
        <v>16</v>
      </c>
      <c r="B26" s="334">
        <v>119</v>
      </c>
    </row>
    <row r="27" spans="1:6">
      <c r="A27" s="348" t="s">
        <v>17</v>
      </c>
      <c r="B27" s="334">
        <v>2994</v>
      </c>
    </row>
    <row r="28" spans="1:6" s="356" customFormat="1">
      <c r="A28" s="355" t="s">
        <v>18</v>
      </c>
      <c r="B28" s="355">
        <v>1505954</v>
      </c>
    </row>
    <row r="29" spans="1:6">
      <c r="A29" s="355" t="s">
        <v>812</v>
      </c>
      <c r="B29" s="355">
        <v>170</v>
      </c>
      <c r="C29" s="356"/>
      <c r="D29" s="356"/>
      <c r="E29" s="356"/>
      <c r="F29" s="356"/>
    </row>
    <row r="30" spans="1:6">
      <c r="A30" s="355" t="s">
        <v>813</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181728.30848000001</v>
      </c>
      <c r="E38" s="334">
        <v>4</v>
      </c>
      <c r="F38" s="334">
        <v>955792.82651000004</v>
      </c>
    </row>
    <row r="39" spans="1:6">
      <c r="A39" s="348" t="s">
        <v>30</v>
      </c>
      <c r="B39" s="348" t="s">
        <v>31</v>
      </c>
      <c r="C39" s="334">
        <v>3656</v>
      </c>
      <c r="D39" s="334">
        <v>67720615.363999993</v>
      </c>
      <c r="E39" s="334">
        <v>5525</v>
      </c>
      <c r="F39" s="334">
        <v>23252885.563999999</v>
      </c>
    </row>
    <row r="40" spans="1:6">
      <c r="A40" s="348" t="s">
        <v>30</v>
      </c>
      <c r="B40" s="348" t="s">
        <v>29</v>
      </c>
      <c r="C40" s="334">
        <v>0</v>
      </c>
      <c r="D40" s="334">
        <v>0</v>
      </c>
      <c r="E40" s="334">
        <v>0</v>
      </c>
      <c r="F40" s="334">
        <v>0</v>
      </c>
    </row>
    <row r="41" spans="1:6">
      <c r="A41" s="348" t="s">
        <v>32</v>
      </c>
      <c r="B41" s="348" t="s">
        <v>33</v>
      </c>
      <c r="C41" s="334">
        <v>46</v>
      </c>
      <c r="D41" s="334">
        <v>1043941.3903</v>
      </c>
      <c r="E41" s="334">
        <v>115</v>
      </c>
      <c r="F41" s="334">
        <v>1862700.9183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95197.838881999996</v>
      </c>
      <c r="E44" s="334">
        <v>20</v>
      </c>
      <c r="F44" s="334">
        <v>1605953.3633999999</v>
      </c>
    </row>
    <row r="45" spans="1:6">
      <c r="A45" s="348" t="s">
        <v>32</v>
      </c>
      <c r="B45" s="348" t="s">
        <v>37</v>
      </c>
      <c r="C45" s="334">
        <v>0</v>
      </c>
      <c r="D45" s="334">
        <v>0</v>
      </c>
      <c r="E45" s="334">
        <v>3</v>
      </c>
      <c r="F45" s="334">
        <v>1338653.7601000001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46</v>
      </c>
      <c r="D48" s="334">
        <v>19870124.017999999</v>
      </c>
      <c r="E48" s="334">
        <v>64</v>
      </c>
      <c r="F48" s="334">
        <v>12206093.453</v>
      </c>
    </row>
    <row r="49" spans="1:6">
      <c r="A49" s="348" t="s">
        <v>32</v>
      </c>
      <c r="B49" s="348" t="s">
        <v>40</v>
      </c>
      <c r="C49" s="334">
        <v>0</v>
      </c>
      <c r="D49" s="334">
        <v>0</v>
      </c>
      <c r="E49" s="334">
        <v>0</v>
      </c>
      <c r="F49" s="334">
        <v>0</v>
      </c>
    </row>
    <row r="50" spans="1:6">
      <c r="A50" s="348" t="s">
        <v>32</v>
      </c>
      <c r="B50" s="348" t="s">
        <v>41</v>
      </c>
      <c r="C50" s="334">
        <v>3</v>
      </c>
      <c r="D50" s="334">
        <v>9925238.7080000006</v>
      </c>
      <c r="E50" s="334">
        <v>17</v>
      </c>
      <c r="F50" s="334">
        <v>9029951.5089999996</v>
      </c>
    </row>
    <row r="51" spans="1:6">
      <c r="A51" s="348" t="s">
        <v>42</v>
      </c>
      <c r="B51" s="348" t="s">
        <v>43</v>
      </c>
      <c r="C51" s="334">
        <v>17</v>
      </c>
      <c r="D51" s="334">
        <v>774567.20360000001</v>
      </c>
      <c r="E51" s="334">
        <v>230</v>
      </c>
      <c r="F51" s="334">
        <v>10583075.696</v>
      </c>
    </row>
    <row r="52" spans="1:6">
      <c r="A52" s="348" t="s">
        <v>42</v>
      </c>
      <c r="B52" s="348" t="s">
        <v>29</v>
      </c>
      <c r="C52" s="334">
        <v>14</v>
      </c>
      <c r="D52" s="334">
        <v>165131819.40000001</v>
      </c>
      <c r="E52" s="334">
        <v>15</v>
      </c>
      <c r="F52" s="334">
        <v>283569.50264000002</v>
      </c>
    </row>
    <row r="53" spans="1:6">
      <c r="A53" s="348" t="s">
        <v>44</v>
      </c>
      <c r="B53" s="348" t="s">
        <v>45</v>
      </c>
      <c r="C53" s="334">
        <v>107</v>
      </c>
      <c r="D53" s="334">
        <v>2255010.1145000001</v>
      </c>
      <c r="E53" s="334">
        <v>231</v>
      </c>
      <c r="F53" s="334">
        <v>1035485.2983</v>
      </c>
    </row>
    <row r="54" spans="1:6">
      <c r="A54" s="348" t="s">
        <v>46</v>
      </c>
      <c r="B54" s="348" t="s">
        <v>47</v>
      </c>
      <c r="C54" s="334">
        <v>0</v>
      </c>
      <c r="D54" s="334">
        <v>0</v>
      </c>
      <c r="E54" s="334">
        <v>1</v>
      </c>
      <c r="F54" s="334">
        <v>988610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473129.45055000001</v>
      </c>
      <c r="E57" s="334">
        <v>53</v>
      </c>
      <c r="F57" s="334">
        <v>951691.57175999996</v>
      </c>
    </row>
    <row r="58" spans="1:6">
      <c r="A58" s="348" t="s">
        <v>49</v>
      </c>
      <c r="B58" s="348" t="s">
        <v>51</v>
      </c>
      <c r="C58" s="334">
        <v>3</v>
      </c>
      <c r="D58" s="334">
        <v>849194.88881999999</v>
      </c>
      <c r="E58" s="334">
        <v>10</v>
      </c>
      <c r="F58" s="334">
        <v>809827.49993000005</v>
      </c>
    </row>
    <row r="59" spans="1:6">
      <c r="A59" s="348" t="s">
        <v>49</v>
      </c>
      <c r="B59" s="348" t="s">
        <v>52</v>
      </c>
      <c r="C59" s="334">
        <v>26</v>
      </c>
      <c r="D59" s="334">
        <v>648770.89043999999</v>
      </c>
      <c r="E59" s="334">
        <v>81</v>
      </c>
      <c r="F59" s="334">
        <v>1130980.6732999999</v>
      </c>
    </row>
    <row r="60" spans="1:6">
      <c r="A60" s="348" t="s">
        <v>49</v>
      </c>
      <c r="B60" s="348" t="s">
        <v>53</v>
      </c>
      <c r="C60" s="334">
        <v>38</v>
      </c>
      <c r="D60" s="334">
        <v>1654866.6771</v>
      </c>
      <c r="E60" s="334">
        <v>52</v>
      </c>
      <c r="F60" s="334">
        <v>1249553.8169</v>
      </c>
    </row>
    <row r="61" spans="1:6">
      <c r="A61" s="348" t="s">
        <v>49</v>
      </c>
      <c r="B61" s="348" t="s">
        <v>54</v>
      </c>
      <c r="C61" s="334">
        <v>34</v>
      </c>
      <c r="D61" s="334">
        <v>550725.71790000005</v>
      </c>
      <c r="E61" s="334">
        <v>137</v>
      </c>
      <c r="F61" s="334">
        <v>1497912.6854000001</v>
      </c>
    </row>
    <row r="62" spans="1:6">
      <c r="A62" s="348" t="s">
        <v>49</v>
      </c>
      <c r="B62" s="348" t="s">
        <v>55</v>
      </c>
      <c r="C62" s="334">
        <v>35</v>
      </c>
      <c r="D62" s="334">
        <v>4062773.9186</v>
      </c>
      <c r="E62" s="334">
        <v>75</v>
      </c>
      <c r="F62" s="334">
        <v>951060.67886999995</v>
      </c>
    </row>
    <row r="63" spans="1:6">
      <c r="A63" s="348" t="s">
        <v>49</v>
      </c>
      <c r="B63" s="348" t="s">
        <v>29</v>
      </c>
      <c r="C63" s="334">
        <v>148</v>
      </c>
      <c r="D63" s="334">
        <v>4992671.7860000003</v>
      </c>
      <c r="E63" s="334">
        <v>216</v>
      </c>
      <c r="F63" s="334">
        <v>5537427.1464999998</v>
      </c>
    </row>
    <row r="64" spans="1:6">
      <c r="A64" s="348" t="s">
        <v>56</v>
      </c>
      <c r="B64" s="348" t="s">
        <v>57</v>
      </c>
      <c r="C64" s="334">
        <v>0</v>
      </c>
      <c r="D64" s="334">
        <v>0</v>
      </c>
      <c r="E64" s="334">
        <v>0</v>
      </c>
      <c r="F64" s="334">
        <v>0</v>
      </c>
    </row>
    <row r="65" spans="1:6">
      <c r="A65" s="348" t="s">
        <v>56</v>
      </c>
      <c r="B65" s="348" t="s">
        <v>29</v>
      </c>
      <c r="C65" s="334">
        <v>4</v>
      </c>
      <c r="D65" s="334">
        <v>90517.518886000005</v>
      </c>
      <c r="E65" s="334">
        <v>6</v>
      </c>
      <c r="F65" s="334">
        <v>145651.46895000001</v>
      </c>
    </row>
    <row r="66" spans="1:6">
      <c r="A66" s="348" t="s">
        <v>56</v>
      </c>
      <c r="B66" s="348" t="s">
        <v>58</v>
      </c>
      <c r="C66" s="334">
        <v>0</v>
      </c>
      <c r="D66" s="334">
        <v>0</v>
      </c>
      <c r="E66" s="334">
        <v>3</v>
      </c>
      <c r="F66" s="334">
        <v>2327.3463213</v>
      </c>
    </row>
    <row r="67" spans="1:6">
      <c r="A67" s="355" t="s">
        <v>56</v>
      </c>
      <c r="B67" s="355" t="s">
        <v>59</v>
      </c>
      <c r="C67" s="334">
        <v>0</v>
      </c>
      <c r="D67" s="334">
        <v>0</v>
      </c>
      <c r="E67" s="334">
        <v>0</v>
      </c>
      <c r="F67" s="334">
        <v>0</v>
      </c>
    </row>
    <row r="68" spans="1:6">
      <c r="A68" s="341" t="s">
        <v>56</v>
      </c>
      <c r="B68" s="341" t="s">
        <v>60</v>
      </c>
      <c r="C68" s="334">
        <v>3</v>
      </c>
      <c r="D68" s="334">
        <v>53447.986347999999</v>
      </c>
      <c r="E68" s="334">
        <v>9</v>
      </c>
      <c r="F68" s="334">
        <v>119097.26688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58600832</v>
      </c>
      <c r="E73" s="476">
        <v>60222416.894603275</v>
      </c>
    </row>
    <row r="74" spans="1:6">
      <c r="A74" s="348" t="s">
        <v>64</v>
      </c>
      <c r="B74" s="348" t="s">
        <v>667</v>
      </c>
      <c r="C74" s="1212" t="s">
        <v>669</v>
      </c>
      <c r="D74" s="476">
        <v>5556461.9754449092</v>
      </c>
      <c r="E74" s="476">
        <v>5703156.3134805821</v>
      </c>
    </row>
    <row r="75" spans="1:6">
      <c r="A75" s="348" t="s">
        <v>65</v>
      </c>
      <c r="B75" s="348" t="s">
        <v>666</v>
      </c>
      <c r="C75" s="1212" t="s">
        <v>670</v>
      </c>
      <c r="D75" s="476">
        <v>16924719</v>
      </c>
      <c r="E75" s="476">
        <v>17384013.054369327</v>
      </c>
    </row>
    <row r="76" spans="1:6">
      <c r="A76" s="348" t="s">
        <v>65</v>
      </c>
      <c r="B76" s="348" t="s">
        <v>667</v>
      </c>
      <c r="C76" s="1212" t="s">
        <v>671</v>
      </c>
      <c r="D76" s="476">
        <v>606236.97544490895</v>
      </c>
      <c r="E76" s="476">
        <v>626005.05997915089</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386426.0491101821</v>
      </c>
      <c r="C83" s="476">
        <v>386426.0491101821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3658.2871667075556</v>
      </c>
    </row>
    <row r="92" spans="1:6">
      <c r="A92" s="341" t="s">
        <v>69</v>
      </c>
      <c r="B92" s="342">
        <v>4806.3880452067251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47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3</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76955.933304131744</v>
      </c>
      <c r="C3" s="43" t="s">
        <v>170</v>
      </c>
      <c r="D3" s="43"/>
      <c r="E3" s="154"/>
      <c r="F3" s="43"/>
      <c r="G3" s="43"/>
      <c r="H3" s="43"/>
      <c r="I3" s="43"/>
      <c r="J3" s="43"/>
      <c r="K3" s="96"/>
    </row>
    <row r="4" spans="1:11">
      <c r="A4" s="383" t="s">
        <v>171</v>
      </c>
      <c r="B4" s="49">
        <f>IF(ISERROR('SEAP template'!B69),0,'SEAP template'!B69)</f>
        <v>66270.325211914285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13726.969411764707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0.20906105753487078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19609.956302521012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82579.5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0.23746760760868027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988.61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988.61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0.20906105753487078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206.6798520895486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23252.885564</v>
      </c>
      <c r="C5" s="17">
        <f>IF(ISERROR('Eigen informatie GS &amp; warmtenet'!B57),0,'Eigen informatie GS &amp; warmtenet'!B57)</f>
        <v>0</v>
      </c>
      <c r="D5" s="30">
        <f>(SUM(HH_hh_gas_kWh,HH_rest_gas_kWh)/1000)*0.902</f>
        <v>61083.995058328001</v>
      </c>
      <c r="E5" s="17">
        <f>B46*B57</f>
        <v>13281.747784581654</v>
      </c>
      <c r="F5" s="17">
        <f>B51*B62</f>
        <v>15352.596614988546</v>
      </c>
      <c r="G5" s="18"/>
      <c r="H5" s="17"/>
      <c r="I5" s="17"/>
      <c r="J5" s="17">
        <f>B50*B61+C50*C61</f>
        <v>0</v>
      </c>
      <c r="K5" s="17"/>
      <c r="L5" s="17"/>
      <c r="M5" s="17"/>
      <c r="N5" s="17">
        <f>B48*B59+C48*C59</f>
        <v>30767.852721337498</v>
      </c>
      <c r="O5" s="17">
        <f>B69*B70*B71</f>
        <v>272.02000000000004</v>
      </c>
      <c r="P5" s="17">
        <f>B77*B78*B79/1000-B77*B78*B79/1000/B80</f>
        <v>1048.6666666666667</v>
      </c>
    </row>
    <row r="6" spans="1:16">
      <c r="A6" s="16" t="s">
        <v>624</v>
      </c>
      <c r="B6" s="843">
        <f>kWh_PV_kleiner_dan_10kW</f>
        <v>3658.2871667075556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26911.172730707556</v>
      </c>
      <c r="C8" s="21">
        <f>C5</f>
        <v>0</v>
      </c>
      <c r="D8" s="21">
        <f>D5</f>
        <v>61083.995058328001</v>
      </c>
      <c r="E8" s="21">
        <f>E5</f>
        <v>13281.747784581654</v>
      </c>
      <c r="F8" s="21">
        <f>F5</f>
        <v>15352.596614988546</v>
      </c>
      <c r="G8" s="21"/>
      <c r="H8" s="21"/>
      <c r="I8" s="21"/>
      <c r="J8" s="21">
        <f>J5</f>
        <v>0</v>
      </c>
      <c r="K8" s="21"/>
      <c r="L8" s="21">
        <f>L5</f>
        <v>0</v>
      </c>
      <c r="M8" s="21">
        <f>M5</f>
        <v>0</v>
      </c>
      <c r="N8" s="21">
        <f>N5</f>
        <v>30767.852721337498</v>
      </c>
      <c r="O8" s="21">
        <f>O5</f>
        <v>272.02000000000004</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0.20906105753487078</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5626.0782305852981</v>
      </c>
      <c r="C12" s="23">
        <f ca="1">C10*C8</f>
        <v>0</v>
      </c>
      <c r="D12" s="23">
        <f>D8*D10</f>
        <v>12338.967001782257</v>
      </c>
      <c r="E12" s="23">
        <f>E10*E8</f>
        <v>3014.9567471000355</v>
      </c>
      <c r="F12" s="23">
        <f>F10*F8</f>
        <v>4099.1432962019417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5895</v>
      </c>
      <c r="C28" s="36"/>
      <c r="D28" s="228"/>
    </row>
    <row r="29" spans="1:7" s="15" customFormat="1">
      <c r="A29" s="230" t="s">
        <v>699</v>
      </c>
      <c r="B29" s="37">
        <f>SUM(HH_hh_gas_aantal,HH_rest_gas_aantal)</f>
        <v>3656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3656</v>
      </c>
      <c r="C32" s="167">
        <f>IF(ISERROR(B32/SUM($B$32,$B$34,$B$35,$B$36,$B$38,$B$39)*100),0,B32/SUM($B$32,$B$34,$B$35,$B$36,$B$38,$B$39)*100)</f>
        <v>62.602739726027401</v>
      </c>
      <c r="D32" s="233"/>
      <c r="G32" s="15"/>
    </row>
    <row r="33" spans="1:7">
      <c r="A33" s="171" t="s">
        <v>72</v>
      </c>
      <c r="B33" s="34" t="s">
        <v>111</v>
      </c>
      <c r="C33" s="167"/>
      <c r="D33" s="233"/>
      <c r="G33" s="15"/>
    </row>
    <row r="34" spans="1:7">
      <c r="A34" s="171" t="s">
        <v>73</v>
      </c>
      <c r="B34" s="33">
        <f>IF((($B$28-$B$32-$B$39-$B$77-$B$38)*C20/100)&lt;0,0,($B$28-$B$32-$B$39-$B$77-$B$38)*C20/100)</f>
        <v>587.22317073170734</v>
      </c>
      <c r="C34" s="167">
        <f>IF(ISERROR(B34/SUM($B$32,$B$34,$B$35,$B$36,$B$38,$B$39)*100),0,B34/SUM($B$32,$B$34,$B$35,$B$36,$B$38,$B$39)*100)</f>
        <v>10.055191279652522</v>
      </c>
      <c r="D34" s="233"/>
      <c r="G34" s="15"/>
    </row>
    <row r="35" spans="1:7">
      <c r="A35" s="171" t="s">
        <v>74</v>
      </c>
      <c r="B35" s="33">
        <f>IF((($B$28-$B$32-$B$39-$B$77-$B$38)*C21/100)&lt;0,0,($B$28-$B$32-$B$39-$B$77-$B$38)*C21/100)</f>
        <v>487.09756097560967</v>
      </c>
      <c r="C35" s="167">
        <f>IF(ISERROR(B35/SUM($B$32,$B$34,$B$35,$B$36,$B$38,$B$39)*100),0,B35/SUM($B$32,$B$34,$B$35,$B$36,$B$38,$B$39)*100)</f>
        <v>8.3407116605412615</v>
      </c>
      <c r="D35" s="233"/>
      <c r="G35" s="15"/>
    </row>
    <row r="36" spans="1:7">
      <c r="A36" s="171" t="s">
        <v>75</v>
      </c>
      <c r="B36" s="33">
        <f>IF((($B$28-$B$32-$B$39-$B$77-$B$38)*C22/100)&lt;0,0,($B$28-$B$32-$B$39-$B$77-$B$38)*C22/100)</f>
        <v>478.97926829268295</v>
      </c>
      <c r="C36" s="167">
        <f>IF(ISERROR(B36/SUM($B$32,$B$34,$B$35,$B$36,$B$38,$B$39)*100),0,B36/SUM($B$32,$B$34,$B$35,$B$36,$B$38,$B$39)*100)</f>
        <v>8.2016997995322409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630.70000000000005</v>
      </c>
      <c r="C39" s="167">
        <f>IF(ISERROR(B39/SUM($B$32,$B$34,$B$35,$B$36,$B$38,$B$39)*100),0,B39/SUM($B$32,$B$34,$B$35,$B$36,$B$38,$B$39)*100)</f>
        <v>10.799657534246576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3656</v>
      </c>
      <c r="C44" s="34" t="s">
        <v>111</v>
      </c>
      <c r="D44" s="174"/>
    </row>
    <row r="45" spans="1:7">
      <c r="A45" s="171" t="s">
        <v>72</v>
      </c>
      <c r="B45" s="33" t="str">
        <f t="shared" si="0"/>
        <v>-</v>
      </c>
      <c r="C45" s="34" t="s">
        <v>111</v>
      </c>
      <c r="D45" s="174"/>
    </row>
    <row r="46" spans="1:7">
      <c r="A46" s="171" t="s">
        <v>73</v>
      </c>
      <c r="B46" s="33">
        <f t="shared" si="0"/>
        <v>587.22317073170734</v>
      </c>
      <c r="C46" s="34" t="s">
        <v>111</v>
      </c>
      <c r="D46" s="174"/>
    </row>
    <row r="47" spans="1:7">
      <c r="A47" s="171" t="s">
        <v>74</v>
      </c>
      <c r="B47" s="33">
        <f t="shared" si="0"/>
        <v>487.09756097560967</v>
      </c>
      <c r="C47" s="34" t="s">
        <v>111</v>
      </c>
      <c r="D47" s="174"/>
    </row>
    <row r="48" spans="1:7">
      <c r="A48" s="171" t="s">
        <v>75</v>
      </c>
      <c r="B48" s="33">
        <f t="shared" si="0"/>
        <v>478.97926829268295</v>
      </c>
      <c r="C48" s="33">
        <f>B48*10</f>
        <v>4789.792682926829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630.70000000000005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12128.454072659999</v>
      </c>
      <c r="C5" s="17">
        <f>IF(ISERROR('Eigen informatie GS &amp; warmtenet'!B58),0,'Eigen informatie GS &amp; warmtenet'!B58)</f>
        <v>0</v>
      </c>
      <c r="D5" s="30">
        <f>SUM(D6:D12)</f>
        <v>11935.38426312782</v>
      </c>
      <c r="E5" s="17">
        <f>SUM(E6:E12)</f>
        <v>197.36210572441064</v>
      </c>
      <c r="F5" s="17">
        <f>SUM(F6:F12)</f>
        <v>3385.621280415432</v>
      </c>
      <c r="G5" s="18"/>
      <c r="H5" s="17"/>
      <c r="I5" s="17"/>
      <c r="J5" s="17">
        <f>SUM(J6:J12)</f>
        <v>0</v>
      </c>
      <c r="K5" s="17"/>
      <c r="L5" s="17"/>
      <c r="M5" s="17"/>
      <c r="N5" s="17">
        <f>SUM(N6:N12)</f>
        <v>1253.0600582386187</v>
      </c>
      <c r="O5" s="17">
        <f>B38*B39*B40</f>
        <v>4.6900000000000004</v>
      </c>
      <c r="P5" s="17">
        <f>B46*B47*B48/1000-B46*B47*B48/1000/B49</f>
        <v>0</v>
      </c>
      <c r="R5" s="32"/>
    </row>
    <row r="6" spans="1:18">
      <c r="A6" s="32" t="s">
        <v>54</v>
      </c>
      <c r="B6" s="37">
        <f>B26</f>
        <v>1497.9126854000001</v>
      </c>
      <c r="C6" s="33"/>
      <c r="D6" s="37">
        <f>IF(ISERROR(TER_kantoor_gas_kWh/1000),0,TER_kantoor_gas_kWh/1000)*0.902</f>
        <v>496.7545975458001</v>
      </c>
      <c r="E6" s="33">
        <f>$C$26*'E Balans VL '!I12/100/3.6*1000000</f>
        <v>19.609522212758666</v>
      </c>
      <c r="F6" s="33">
        <f>$C$26*('E Balans VL '!L12+'E Balans VL '!N12)/100/3.6*1000000</f>
        <v>381.95225592552009</v>
      </c>
      <c r="G6" s="34"/>
      <c r="H6" s="33"/>
      <c r="I6" s="33"/>
      <c r="J6" s="33">
        <f>$C$26*('E Balans VL '!D12+'E Balans VL '!E12)/100/3.6*1000000</f>
        <v>0</v>
      </c>
      <c r="K6" s="33"/>
      <c r="L6" s="33"/>
      <c r="M6" s="33"/>
      <c r="N6" s="33">
        <f>$C$26*'E Balans VL '!Y12/100/3.6*1000000</f>
        <v>1.5029568261356732</v>
      </c>
      <c r="O6" s="33"/>
      <c r="P6" s="33"/>
      <c r="R6" s="32"/>
    </row>
    <row r="7" spans="1:18">
      <c r="A7" s="32" t="s">
        <v>53</v>
      </c>
      <c r="B7" s="37">
        <f t="shared" ref="B7:B12" si="0">B27</f>
        <v>1249.5538168999999</v>
      </c>
      <c r="C7" s="33"/>
      <c r="D7" s="37">
        <f>IF(ISERROR(TER_horeca_gas_kWh/1000),0,TER_horeca_gas_kWh/1000)*0.902</f>
        <v>1492.6897427442002</v>
      </c>
      <c r="E7" s="33">
        <f>$C$27*'E Balans VL '!I9/100/3.6*1000000</f>
        <v>41.35263055849714</v>
      </c>
      <c r="F7" s="33">
        <f>$C$27*('E Balans VL '!L9+'E Balans VL '!N9)/100/3.6*1000000</f>
        <v>537.30335239670615</v>
      </c>
      <c r="G7" s="34"/>
      <c r="H7" s="33"/>
      <c r="I7" s="33"/>
      <c r="J7" s="33">
        <f>$C$27*('E Balans VL '!D9+'E Balans VL '!E9)/100/3.6*1000000</f>
        <v>0</v>
      </c>
      <c r="K7" s="33"/>
      <c r="L7" s="33"/>
      <c r="M7" s="33"/>
      <c r="N7" s="33">
        <f>$C$27*'E Balans VL '!Y9/100/3.6*1000000</f>
        <v>0.3007857492405559</v>
      </c>
      <c r="O7" s="33"/>
      <c r="P7" s="33"/>
      <c r="R7" s="32"/>
    </row>
    <row r="8" spans="1:18">
      <c r="A8" s="6" t="s">
        <v>52</v>
      </c>
      <c r="B8" s="37">
        <f t="shared" si="0"/>
        <v>1130.9806732999998</v>
      </c>
      <c r="C8" s="33"/>
      <c r="D8" s="37">
        <f>IF(ISERROR(TER_handel_gas_kWh/1000),0,TER_handel_gas_kWh/1000)*0.902</f>
        <v>585.19134317688008</v>
      </c>
      <c r="E8" s="33">
        <f>$C$28*'E Balans VL '!I13/100/3.6*1000000</f>
        <v>35.695478136377538</v>
      </c>
      <c r="F8" s="33">
        <f>$C$28*('E Balans VL '!L13+'E Balans VL '!N13)/100/3.6*1000000</f>
        <v>221.80522536733324</v>
      </c>
      <c r="G8" s="34"/>
      <c r="H8" s="33"/>
      <c r="I8" s="33"/>
      <c r="J8" s="33">
        <f>$C$28*('E Balans VL '!D13+'E Balans VL '!E13)/100/3.6*1000000</f>
        <v>0</v>
      </c>
      <c r="K8" s="33"/>
      <c r="L8" s="33"/>
      <c r="M8" s="33"/>
      <c r="N8" s="33">
        <f>$C$28*'E Balans VL '!Y13/100/3.6*1000000</f>
        <v>1.3422544820050104</v>
      </c>
      <c r="O8" s="33"/>
      <c r="P8" s="33"/>
      <c r="R8" s="32"/>
    </row>
    <row r="9" spans="1:18">
      <c r="A9" s="32" t="s">
        <v>51</v>
      </c>
      <c r="B9" s="37">
        <f t="shared" si="0"/>
        <v>809.82749993000004</v>
      </c>
      <c r="C9" s="33"/>
      <c r="D9" s="37">
        <f>IF(ISERROR(TER_gezond_gas_kWh/1000),0,TER_gezond_gas_kWh/1000)*0.902</f>
        <v>765.97378971564001</v>
      </c>
      <c r="E9" s="33">
        <f>$C$29*'E Balans VL '!I10/100/3.6*1000000</f>
        <v>0.10368161096889209</v>
      </c>
      <c r="F9" s="33">
        <f>$C$29*('E Balans VL '!L10+'E Balans VL '!N10)/100/3.6*1000000</f>
        <v>168.72101121659068</v>
      </c>
      <c r="G9" s="34"/>
      <c r="H9" s="33"/>
      <c r="I9" s="33"/>
      <c r="J9" s="33">
        <f>$C$29*('E Balans VL '!D10+'E Balans VL '!E10)/100/3.6*1000000</f>
        <v>0</v>
      </c>
      <c r="K9" s="33"/>
      <c r="L9" s="33"/>
      <c r="M9" s="33"/>
      <c r="N9" s="33">
        <f>$C$29*'E Balans VL '!Y10/100/3.6*1000000</f>
        <v>9.5118067614761213</v>
      </c>
      <c r="O9" s="33"/>
      <c r="P9" s="33"/>
      <c r="R9" s="32"/>
    </row>
    <row r="10" spans="1:18">
      <c r="A10" s="32" t="s">
        <v>50</v>
      </c>
      <c r="B10" s="37">
        <f t="shared" si="0"/>
        <v>951.69157175999999</v>
      </c>
      <c r="C10" s="33"/>
      <c r="D10" s="37">
        <f>IF(ISERROR(TER_ander_gas_kWh/1000),0,TER_ander_gas_kWh/1000)*0.902</f>
        <v>426.76276439610001</v>
      </c>
      <c r="E10" s="33">
        <f>$C$30*'E Balans VL '!I14/100/3.6*1000000</f>
        <v>1.431120318819048</v>
      </c>
      <c r="F10" s="33">
        <f>$C$30*('E Balans VL '!L14+'E Balans VL '!N14)/100/3.6*1000000</f>
        <v>210.10282165033593</v>
      </c>
      <c r="G10" s="34"/>
      <c r="H10" s="33"/>
      <c r="I10" s="33"/>
      <c r="J10" s="33">
        <f>$C$30*('E Balans VL '!D14+'E Balans VL '!E14)/100/3.6*1000000</f>
        <v>0</v>
      </c>
      <c r="K10" s="33"/>
      <c r="L10" s="33"/>
      <c r="M10" s="33"/>
      <c r="N10" s="33">
        <f>$C$30*'E Balans VL '!Y14/100/3.6*1000000</f>
        <v>749.99700497486867</v>
      </c>
      <c r="O10" s="33"/>
      <c r="P10" s="33"/>
      <c r="R10" s="32"/>
    </row>
    <row r="11" spans="1:18">
      <c r="A11" s="32" t="s">
        <v>55</v>
      </c>
      <c r="B11" s="37">
        <f t="shared" si="0"/>
        <v>951.06067886999995</v>
      </c>
      <c r="C11" s="33"/>
      <c r="D11" s="37">
        <f>IF(ISERROR(TER_onderwijs_gas_kWh/1000),0,TER_onderwijs_gas_kWh/1000)*0.902</f>
        <v>3664.6220745771998</v>
      </c>
      <c r="E11" s="33">
        <f>$C$31*'E Balans VL '!I11/100/3.6*1000000</f>
        <v>1.6748975540994699</v>
      </c>
      <c r="F11" s="33">
        <f>$C$31*('E Balans VL '!L11+'E Balans VL '!N11)/100/3.6*1000000</f>
        <v>439.12192484880001</v>
      </c>
      <c r="G11" s="34"/>
      <c r="H11" s="33"/>
      <c r="I11" s="33"/>
      <c r="J11" s="33">
        <f>$C$31*('E Balans VL '!D11+'E Balans VL '!E11)/100/3.6*1000000</f>
        <v>0</v>
      </c>
      <c r="K11" s="33"/>
      <c r="L11" s="33"/>
      <c r="M11" s="33"/>
      <c r="N11" s="33">
        <f>$C$31*'E Balans VL '!Y11/100/3.6*1000000</f>
        <v>1.7718391967424787</v>
      </c>
      <c r="O11" s="33"/>
      <c r="P11" s="33"/>
      <c r="R11" s="32"/>
    </row>
    <row r="12" spans="1:18">
      <c r="A12" s="32" t="s">
        <v>260</v>
      </c>
      <c r="B12" s="37">
        <f t="shared" si="0"/>
        <v>5537.4271465000002</v>
      </c>
      <c r="C12" s="33"/>
      <c r="D12" s="37">
        <f>IF(ISERROR(TER_rest_gas_kWh/1000),0,TER_rest_gas_kWh/1000)*0.902</f>
        <v>4503.3899509720004</v>
      </c>
      <c r="E12" s="33">
        <f>$C$32*'E Balans VL '!I8/100/3.6*1000000</f>
        <v>97.494775332889859</v>
      </c>
      <c r="F12" s="33">
        <f>$C$32*('E Balans VL '!L8+'E Balans VL '!N8)/100/3.6*1000000</f>
        <v>1426.6146890101461</v>
      </c>
      <c r="G12" s="34"/>
      <c r="H12" s="33"/>
      <c r="I12" s="33"/>
      <c r="J12" s="33">
        <f>$C$32*('E Balans VL '!D8+'E Balans VL '!E8)/100/3.6*1000000</f>
        <v>0</v>
      </c>
      <c r="K12" s="33"/>
      <c r="L12" s="33"/>
      <c r="M12" s="33"/>
      <c r="N12" s="33">
        <f>$C$32*'E Balans VL '!Y8/100/3.6*1000000</f>
        <v>488.63341024815014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12128.454072659999</v>
      </c>
      <c r="C16" s="21">
        <f t="shared" ca="1" si="1"/>
        <v>0</v>
      </c>
      <c r="D16" s="21">
        <f t="shared" ca="1" si="1"/>
        <v>11935.38426312782</v>
      </c>
      <c r="E16" s="21">
        <f t="shared" si="1"/>
        <v>197.36210572441064</v>
      </c>
      <c r="F16" s="21">
        <f t="shared" ca="1" si="1"/>
        <v>3385.621280415432</v>
      </c>
      <c r="G16" s="21">
        <f t="shared" si="1"/>
        <v>0</v>
      </c>
      <c r="H16" s="21">
        <f t="shared" si="1"/>
        <v>0</v>
      </c>
      <c r="I16" s="21">
        <f t="shared" si="1"/>
        <v>0</v>
      </c>
      <c r="J16" s="21">
        <f t="shared" si="1"/>
        <v>0</v>
      </c>
      <c r="K16" s="21">
        <f t="shared" si="1"/>
        <v>0</v>
      </c>
      <c r="L16" s="21">
        <f t="shared" ca="1" si="1"/>
        <v>0</v>
      </c>
      <c r="M16" s="21">
        <f t="shared" si="1"/>
        <v>0</v>
      </c>
      <c r="N16" s="21">
        <f t="shared" ca="1" si="1"/>
        <v>1253.0600582386187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0.20906105753487078</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2535.5874346934097</v>
      </c>
      <c r="C20" s="23">
        <f t="shared" ref="C20:P20" ca="1" si="2">C16*C18</f>
        <v>0</v>
      </c>
      <c r="D20" s="23">
        <f t="shared" ca="1" si="2"/>
        <v>2410.9476211518199</v>
      </c>
      <c r="E20" s="23">
        <f t="shared" si="2"/>
        <v>44.801197999441214</v>
      </c>
      <c r="F20" s="23">
        <f t="shared" ca="1" si="2"/>
        <v>903.96088187092039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1497.9126854000001</v>
      </c>
      <c r="C26" s="39">
        <f>IF(ISERROR(B26*3.6/1000000/'E Balans VL '!Z12*100),0,B26*3.6/1000000/'E Balans VL '!Z12*100)</f>
        <v>3.2086453404320023E-2</v>
      </c>
      <c r="D26" s="237" t="s">
        <v>660</v>
      </c>
      <c r="F26" s="6"/>
    </row>
    <row r="27" spans="1:18">
      <c r="A27" s="231" t="s">
        <v>53</v>
      </c>
      <c r="B27" s="33">
        <f>IF(ISERROR(TER_horeca_ele_kWh/1000),0,TER_horeca_ele_kWh/1000)</f>
        <v>1249.5538168999999</v>
      </c>
      <c r="C27" s="39">
        <f>IF(ISERROR(B27*3.6/1000000/'E Balans VL '!Z9*100),0,B27*3.6/1000000/'E Balans VL '!Z9*100)</f>
        <v>0.10027235040149129</v>
      </c>
      <c r="D27" s="237" t="s">
        <v>660</v>
      </c>
      <c r="F27" s="6"/>
    </row>
    <row r="28" spans="1:18">
      <c r="A28" s="171" t="s">
        <v>52</v>
      </c>
      <c r="B28" s="33">
        <f>IF(ISERROR(TER_handel_ele_kWh/1000),0,TER_handel_ele_kWh/1000)</f>
        <v>1130.9806732999998</v>
      </c>
      <c r="C28" s="39">
        <f>IF(ISERROR(B28*3.6/1000000/'E Balans VL '!Z13*100),0,B28*3.6/1000000/'E Balans VL '!Z13*100)</f>
        <v>3.33574428159552E-2</v>
      </c>
      <c r="D28" s="237" t="s">
        <v>660</v>
      </c>
      <c r="F28" s="6"/>
    </row>
    <row r="29" spans="1:18">
      <c r="A29" s="231" t="s">
        <v>51</v>
      </c>
      <c r="B29" s="33">
        <f>IF(ISERROR(TER_gezond_ele_kWh/1000),0,TER_gezond_ele_kWh/1000)</f>
        <v>809.82749993000004</v>
      </c>
      <c r="C29" s="39">
        <f>IF(ISERROR(B29*3.6/1000000/'E Balans VL '!Z10*100),0,B29*3.6/1000000/'E Balans VL '!Z10*100)</f>
        <v>8.6467864703046737E-2</v>
      </c>
      <c r="D29" s="237" t="s">
        <v>660</v>
      </c>
      <c r="F29" s="6"/>
    </row>
    <row r="30" spans="1:18">
      <c r="A30" s="231" t="s">
        <v>50</v>
      </c>
      <c r="B30" s="33">
        <f>IF(ISERROR(TER_ander_ele_kWh/1000),0,TER_ander_ele_kWh/1000)</f>
        <v>951.69157175999999</v>
      </c>
      <c r="C30" s="39">
        <f>IF(ISERROR(B30*3.6/1000000/'E Balans VL '!Z14*100),0,B30*3.6/1000000/'E Balans VL '!Z14*100)</f>
        <v>7.1885001557091224E-2</v>
      </c>
      <c r="D30" s="237" t="s">
        <v>660</v>
      </c>
      <c r="F30" s="6"/>
    </row>
    <row r="31" spans="1:18">
      <c r="A31" s="231" t="s">
        <v>55</v>
      </c>
      <c r="B31" s="33">
        <f>IF(ISERROR(TER_onderwijs_ele_kWh/1000),0,TER_onderwijs_ele_kWh/1000)</f>
        <v>951.06067886999995</v>
      </c>
      <c r="C31" s="39">
        <f>IF(ISERROR(B31*3.6/1000000/'E Balans VL '!Z11*100),0,B31*3.6/1000000/'E Balans VL '!Z11*100)</f>
        <v>0.19205089992204669</v>
      </c>
      <c r="D31" s="237" t="s">
        <v>660</v>
      </c>
    </row>
    <row r="32" spans="1:18">
      <c r="A32" s="231" t="s">
        <v>260</v>
      </c>
      <c r="B32" s="33">
        <f>IF(ISERROR(TER_rest_ele_kWh/1000),0,TER_rest_ele_kWh/1000)</f>
        <v>5537.4271465000002</v>
      </c>
      <c r="C32" s="39">
        <f>IF(ISERROR(B32*3.6/1000000/'E Balans VL '!Z8*100),0,B32*3.6/1000000/'E Balans VL '!Z8*100)</f>
        <v>4.5912981856159787E-2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26043.353003799999</v>
      </c>
      <c r="C5" s="17">
        <f>IF(ISERROR('Eigen informatie GS &amp; warmtenet'!B59),0,'Eigen informatie GS &amp; warmtenet'!B59)</f>
        <v>0</v>
      </c>
      <c r="D5" s="30">
        <f>SUM(D6:D15)</f>
        <v>27902.920763574162</v>
      </c>
      <c r="E5" s="17">
        <f>SUM(E6:E15)</f>
        <v>1453.5629607143662</v>
      </c>
      <c r="F5" s="17">
        <f>SUM(F6:F15)</f>
        <v>7227.032488277875</v>
      </c>
      <c r="G5" s="18"/>
      <c r="H5" s="17"/>
      <c r="I5" s="17"/>
      <c r="J5" s="17">
        <f>SUM(J6:J15)</f>
        <v>100.5158666048068</v>
      </c>
      <c r="K5" s="17"/>
      <c r="L5" s="17"/>
      <c r="M5" s="17"/>
      <c r="N5" s="17">
        <f>SUM(N6:N15)</f>
        <v>6507.4091153198187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1605.9533633999999</v>
      </c>
      <c r="C8" s="33"/>
      <c r="D8" s="37">
        <f>IF( ISERROR(IND_metaal_Gas_kWH/1000),0,IND_metaal_Gas_kWH/1000)*0.902</f>
        <v>85.868450671564005</v>
      </c>
      <c r="E8" s="33">
        <f>C30*'E Balans VL '!I18/100/3.6*1000000</f>
        <v>57.78706035339335</v>
      </c>
      <c r="F8" s="33">
        <f>C30*'E Balans VL '!L18/100/3.6*1000000+C30*'E Balans VL '!N18/100/3.6*1000000</f>
        <v>701.26777438980344</v>
      </c>
      <c r="G8" s="34"/>
      <c r="H8" s="33"/>
      <c r="I8" s="33"/>
      <c r="J8" s="40">
        <f>C30*'E Balans VL '!D18/100/3.6*1000000+C30*'E Balans VL '!E18/100/3.6*1000000</f>
        <v>0</v>
      </c>
      <c r="K8" s="33"/>
      <c r="L8" s="33"/>
      <c r="M8" s="33"/>
      <c r="N8" s="33">
        <f>C30*'E Balans VL '!Y18/100/3.6*1000000</f>
        <v>80.489291212657392</v>
      </c>
      <c r="O8" s="33"/>
      <c r="P8" s="33"/>
      <c r="R8" s="32"/>
    </row>
    <row r="9" spans="1:18">
      <c r="A9" s="6" t="s">
        <v>33</v>
      </c>
      <c r="B9" s="37">
        <f t="shared" si="0"/>
        <v>1862.7009183</v>
      </c>
      <c r="C9" s="33"/>
      <c r="D9" s="37">
        <f>IF( ISERROR(IND_andere_gas_kWh/1000),0,IND_andere_gas_kWh/1000)*0.902</f>
        <v>941.63513405059996</v>
      </c>
      <c r="E9" s="33">
        <f>C31*'E Balans VL '!I19/100/3.6*1000000</f>
        <v>475.31912956145186</v>
      </c>
      <c r="F9" s="33">
        <f>C31*'E Balans VL '!L19/100/3.6*1000000+C31*'E Balans VL '!N19/100/3.6*1000000</f>
        <v>1603.6454846123133</v>
      </c>
      <c r="G9" s="34"/>
      <c r="H9" s="33"/>
      <c r="I9" s="33"/>
      <c r="J9" s="40">
        <f>C31*'E Balans VL '!D19/100/3.6*1000000+C31*'E Balans VL '!E19/100/3.6*1000000</f>
        <v>0</v>
      </c>
      <c r="K9" s="33"/>
      <c r="L9" s="33"/>
      <c r="M9" s="33"/>
      <c r="N9" s="33">
        <f>C31*'E Balans VL '!Y19/100/3.6*1000000</f>
        <v>582.53036799662402</v>
      </c>
      <c r="O9" s="33"/>
      <c r="P9" s="33"/>
      <c r="R9" s="32"/>
    </row>
    <row r="10" spans="1:18">
      <c r="A10" s="6" t="s">
        <v>41</v>
      </c>
      <c r="B10" s="37">
        <f t="shared" si="0"/>
        <v>9029.9515090000004</v>
      </c>
      <c r="C10" s="33"/>
      <c r="D10" s="37">
        <f>IF( ISERROR(IND_voed_gas_kWh/1000),0,IND_voed_gas_kWh/1000)*0.902</f>
        <v>8952.5653146160003</v>
      </c>
      <c r="E10" s="33">
        <f>C32*'E Balans VL '!I20/100/3.6*1000000</f>
        <v>229.55376649829043</v>
      </c>
      <c r="F10" s="33">
        <f>C32*'E Balans VL '!L20/100/3.6*1000000+C32*'E Balans VL '!N20/100/3.6*1000000</f>
        <v>2043.3424752246019</v>
      </c>
      <c r="G10" s="34"/>
      <c r="H10" s="33"/>
      <c r="I10" s="33"/>
      <c r="J10" s="40">
        <f>C32*'E Balans VL '!D20/100/3.6*1000000+C32*'E Balans VL '!E20/100/3.6*1000000</f>
        <v>0</v>
      </c>
      <c r="K10" s="33"/>
      <c r="L10" s="33"/>
      <c r="M10" s="33"/>
      <c r="N10" s="33">
        <f>C32*'E Balans VL '!Y20/100/3.6*1000000</f>
        <v>3386.4765823382122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1338.6537601</v>
      </c>
      <c r="C12" s="33"/>
      <c r="D12" s="37">
        <f>IF( ISERROR(IND_min_gas_kWh/1000),0,IND_min_gas_kWh/1000)*0.902</f>
        <v>0</v>
      </c>
      <c r="E12" s="33">
        <f>C34*'E Balans VL '!I22/100/3.6*1000000</f>
        <v>28.443037438333278</v>
      </c>
      <c r="F12" s="33">
        <f>C34*'E Balans VL '!L22/100/3.6*1000000+C34*'E Balans VL '!N22/100/3.6*1000000</f>
        <v>218.41276909967064</v>
      </c>
      <c r="G12" s="34"/>
      <c r="H12" s="33"/>
      <c r="I12" s="33"/>
      <c r="J12" s="40">
        <f>C34*'E Balans VL '!D22/100/3.6*1000000+C34*'E Balans VL '!E22/100/3.6*1000000</f>
        <v>1.5596565543707168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12206.093452999999</v>
      </c>
      <c r="C15" s="33"/>
      <c r="D15" s="37">
        <f>IF( ISERROR(IND_rest_gas_kWh/1000),0,IND_rest_gas_kWh/1000)*0.902</f>
        <v>17922.851864236</v>
      </c>
      <c r="E15" s="33">
        <f>C37*'E Balans VL '!I15/100/3.6*1000000</f>
        <v>662.45996686289732</v>
      </c>
      <c r="F15" s="33">
        <f>C37*'E Balans VL '!L15/100/3.6*1000000+C37*'E Balans VL '!N15/100/3.6*1000000</f>
        <v>2660.3639849514861</v>
      </c>
      <c r="G15" s="34"/>
      <c r="H15" s="33"/>
      <c r="I15" s="33"/>
      <c r="J15" s="40">
        <f>C37*'E Balans VL '!D15/100/3.6*1000000+C37*'E Balans VL '!E15/100/3.6*1000000</f>
        <v>98.956210050436084</v>
      </c>
      <c r="K15" s="33"/>
      <c r="L15" s="33"/>
      <c r="M15" s="33"/>
      <c r="N15" s="33">
        <f>C37*'E Balans VL '!Y15/100/3.6*1000000</f>
        <v>2457.9128737723254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26043.353003799999</v>
      </c>
      <c r="C18" s="21">
        <f>C5+C16</f>
        <v>0</v>
      </c>
      <c r="D18" s="21">
        <f>MAX((D5+D16),0)</f>
        <v>27902.920763574162</v>
      </c>
      <c r="E18" s="21">
        <f>MAX((E5+E16),0)</f>
        <v>1453.5629607143662</v>
      </c>
      <c r="F18" s="21">
        <f>MAX((F5+F16),0)</f>
        <v>7227.032488277875</v>
      </c>
      <c r="G18" s="21"/>
      <c r="H18" s="21"/>
      <c r="I18" s="21"/>
      <c r="J18" s="21">
        <f>MAX((J5+J16),0)</f>
        <v>100.5158666048068</v>
      </c>
      <c r="K18" s="21"/>
      <c r="L18" s="21">
        <f>MAX((L5+L16),0)</f>
        <v>0</v>
      </c>
      <c r="M18" s="21"/>
      <c r="N18" s="21">
        <f>MAX((N5+N16),0)</f>
        <v>6507.4091153198187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0.20906105753487078</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5444.6509207283816</v>
      </c>
      <c r="C22" s="23">
        <f ca="1">C18*C20</f>
        <v>0</v>
      </c>
      <c r="D22" s="23">
        <f>D18*D20</f>
        <v>5636.3899942419812</v>
      </c>
      <c r="E22" s="23">
        <f>E18*E20</f>
        <v>329.95879208216115</v>
      </c>
      <c r="F22" s="23">
        <f>F18*F20</f>
        <v>1929.6176743701928</v>
      </c>
      <c r="G22" s="23"/>
      <c r="H22" s="23"/>
      <c r="I22" s="23"/>
      <c r="J22" s="23">
        <f>J18*J20</f>
        <v>35.58261677810161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1605.9533633999999</v>
      </c>
      <c r="C30" s="39">
        <f>IF(ISERROR(B30*3.6/1000000/'E Balans VL '!Z18*100),0,B30*3.6/1000000/'E Balans VL '!Z18*100)</f>
        <v>0.34026708697178931</v>
      </c>
      <c r="D30" s="237" t="s">
        <v>660</v>
      </c>
    </row>
    <row r="31" spans="1:18">
      <c r="A31" s="6" t="s">
        <v>33</v>
      </c>
      <c r="B31" s="37">
        <f>IF( ISERROR(IND_ander_ele_kWh/1000),0,IND_ander_ele_kWh/1000)</f>
        <v>1862.7009183</v>
      </c>
      <c r="C31" s="39">
        <f>IF(ISERROR(B31*3.6/1000000/'E Balans VL '!Z19*100),0,B31*3.6/1000000/'E Balans VL '!Z19*100)</f>
        <v>7.840531122128136E-2</v>
      </c>
      <c r="D31" s="237" t="s">
        <v>660</v>
      </c>
    </row>
    <row r="32" spans="1:18">
      <c r="A32" s="171" t="s">
        <v>41</v>
      </c>
      <c r="B32" s="37">
        <f>IF( ISERROR(IND_voed_ele_kWh/1000),0,IND_voed_ele_kWh/1000)</f>
        <v>9029.9515090000004</v>
      </c>
      <c r="C32" s="39">
        <f>IF(ISERROR(B32*3.6/1000000/'E Balans VL '!Z20*100),0,B32*3.6/1000000/'E Balans VL '!Z20*100)</f>
        <v>1.5085555664530768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1338.6537601</v>
      </c>
      <c r="C34" s="39">
        <f>IF(ISERROR(B34*3.6/1000000/'E Balans VL '!Z22*100),0,B34*3.6/1000000/'E Balans VL '!Z22*100)</f>
        <v>0.16968158343108117</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12206.093452999999</v>
      </c>
      <c r="C37" s="39">
        <f>IF(ISERROR(B37*3.6/1000000/'E Balans VL '!Z15*100),0,B37*3.6/1000000/'E Balans VL '!Z15*100)</f>
        <v>9.8544518862083347E-2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10866.645198640001</v>
      </c>
      <c r="C5" s="17">
        <f>'Eigen informatie GS &amp; warmtenet'!B60</f>
        <v>0</v>
      </c>
      <c r="D5" s="30">
        <f>IF(ISERROR(SUM(LB_lb_gas_kWh,LB_rest_gas_kWh,onbekend_gas_kWh)/1000),0,SUM(LB_lb_gas_kWh,LB_rest_gas_kWh,onbekend_gas_kWh)/1000)*0.902</f>
        <v>151681.57983972618</v>
      </c>
      <c r="E5" s="17">
        <f>B17*'E Balans VL '!I25/3.6*1000000/100</f>
        <v>280.20905657916813</v>
      </c>
      <c r="F5" s="17">
        <f>B17*('E Balans VL '!L25/3.6*1000000+'E Balans VL '!N25/3.6*1000000)/100</f>
        <v>39719.657653079215</v>
      </c>
      <c r="G5" s="18"/>
      <c r="H5" s="17"/>
      <c r="I5" s="17"/>
      <c r="J5" s="17">
        <f>('E Balans VL '!D25+'E Balans VL '!E25)/3.6*1000000*landbouw!B17/100</f>
        <v>1564.3971610536914</v>
      </c>
      <c r="K5" s="17"/>
      <c r="L5" s="17">
        <f>L6*(-1)</f>
        <v>0</v>
      </c>
      <c r="M5" s="17"/>
      <c r="N5" s="17">
        <f>N6*(-1)</f>
        <v>124.71428571428569</v>
      </c>
      <c r="O5" s="17"/>
      <c r="P5" s="17"/>
      <c r="R5" s="32"/>
    </row>
    <row r="6" spans="1:18">
      <c r="A6" s="16" t="s">
        <v>491</v>
      </c>
      <c r="B6" s="17" t="s">
        <v>211</v>
      </c>
      <c r="C6" s="17">
        <f>'lokale energieproductie'!O91+'lokale energieproductie'!O60</f>
        <v>82579.5</v>
      </c>
      <c r="D6" s="310">
        <f>('lokale energieproductie'!P60+'lokale energieproductie'!P91)*(-1)</f>
        <v>-165034.28571428571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10866.645198640001</v>
      </c>
      <c r="C8" s="21">
        <f>C5+C6</f>
        <v>82579.5</v>
      </c>
      <c r="D8" s="21">
        <f>MAX((D5+D6),0)</f>
        <v>0</v>
      </c>
      <c r="E8" s="21">
        <f>MAX((E5+E6),0)</f>
        <v>280.20905657916813</v>
      </c>
      <c r="F8" s="21">
        <f>MAX((F5+F6),0)</f>
        <v>39719.657653079215</v>
      </c>
      <c r="G8" s="21"/>
      <c r="H8" s="21"/>
      <c r="I8" s="21"/>
      <c r="J8" s="21">
        <f>MAX((J5+J6),0)</f>
        <v>1564.3971610536914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0.20906105753487078</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2271.7923370839044</v>
      </c>
      <c r="C12" s="23">
        <f ca="1">C8*C10</f>
        <v>19609.956302521012</v>
      </c>
      <c r="D12" s="23">
        <f>D8*D10</f>
        <v>0</v>
      </c>
      <c r="E12" s="23">
        <f>E8*E10</f>
        <v>63.607455843471172</v>
      </c>
      <c r="F12" s="23">
        <f>F8*F10</f>
        <v>10605.148593372151</v>
      </c>
      <c r="G12" s="23"/>
      <c r="H12" s="23"/>
      <c r="I12" s="23"/>
      <c r="J12" s="23">
        <f>J8*J10</f>
        <v>553.79659501300671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1.5322689520520587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1183.0194012123347</v>
      </c>
      <c r="C26" s="247">
        <f>B26*'GWP N2O_CH4'!B5</f>
        <v>24843.40742545903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689.35505388581259</v>
      </c>
      <c r="C27" s="247">
        <f>B27*'GWP N2O_CH4'!B5</f>
        <v>14476.456131602064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31.13396510646583</v>
      </c>
      <c r="C28" s="247">
        <f>B28*'GWP N2O_CH4'!B4</f>
        <v>9651.529183004408</v>
      </c>
      <c r="D28" s="50"/>
    </row>
    <row r="29" spans="1:4">
      <c r="A29" s="41" t="s">
        <v>277</v>
      </c>
      <c r="B29" s="247">
        <f>B34*'ha_N2O bodem landbouw'!B4</f>
        <v>33.23866500418692</v>
      </c>
      <c r="C29" s="247">
        <f>B29*'GWP N2O_CH4'!B4</f>
        <v>10303.986151297946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7.4805058675408596E-3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6.371387396703968E-5</v>
      </c>
      <c r="C5" s="463" t="s">
        <v>211</v>
      </c>
      <c r="D5" s="448">
        <f>SUM(D6:D11)</f>
        <v>1.4846370268378672E-4</v>
      </c>
      <c r="E5" s="448">
        <f>SUM(E6:E11)</f>
        <v>5.6939649039166045E-4</v>
      </c>
      <c r="F5" s="461" t="s">
        <v>211</v>
      </c>
      <c r="G5" s="448">
        <f>SUM(G6:G11)</f>
        <v>0.19316357226227895</v>
      </c>
      <c r="H5" s="448">
        <f>SUM(H6:H11)</f>
        <v>3.9800366473014111E-2</v>
      </c>
      <c r="I5" s="463" t="s">
        <v>211</v>
      </c>
      <c r="J5" s="463" t="s">
        <v>211</v>
      </c>
      <c r="K5" s="463" t="s">
        <v>211</v>
      </c>
      <c r="L5" s="463" t="s">
        <v>211</v>
      </c>
      <c r="M5" s="448">
        <f>SUM(M6:M11)</f>
        <v>7.2781584028586525E-3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4.9436064682423384E-5</v>
      </c>
      <c r="C6" s="449"/>
      <c r="D6" s="962">
        <f>vkm_2011_GW_PW*SUMIFS(TableVerdeelsleutelVkm[CNG],TableVerdeelsleutelVkm[Voertuigtype],"Lichte voertuigen")*SUMIFS(TableECFTransport[EnergieConsumptieFactor (PJ per km)],TableECFTransport[Index],CONCATENATE($A6,"_CNG_CNG"))</f>
        <v>9.8230326472505889E-5</v>
      </c>
      <c r="E6" s="962">
        <f>vkm_2011_GW_PW*SUMIFS(TableVerdeelsleutelVkm[LPG],TableVerdeelsleutelVkm[Voertuigtype],"Lichte voertuigen")*SUMIFS(TableECFTransport[EnergieConsumptieFactor (PJ per km)],TableECFTransport[Index],CONCATENATE($A6,"_LPG_LPG"))</f>
        <v>3.8657154760163244E-4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9.1913449976421119E-2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2.6593904570146158E-2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3.692798598962232E-3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5.3243117075756699E-2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1.7199801015764998E-5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1.6776091530379847E-3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1.4277809284616298E-5</v>
      </c>
      <c r="C8" s="449"/>
      <c r="D8" s="451">
        <f>vkm_2011_NGW_PW*SUMIFS(TableVerdeelsleutelVkm[CNG],TableVerdeelsleutelVkm[Voertuigtype],"Lichte voertuigen")*SUMIFS(TableECFTransport[EnergieConsumptieFactor (PJ per km)],TableECFTransport[Index],CONCATENATE($A8,"_CNG_CNG"))</f>
        <v>5.0233376211280836E-5</v>
      </c>
      <c r="E8" s="451">
        <f>vkm_2011_NGW_PW*SUMIFS(TableVerdeelsleutelVkm[LPG],TableVerdeelsleutelVkm[Voertuigtype],"Lichte voertuigen")*SUMIFS(TableECFTransport[EnergieConsumptieFactor (PJ per km)],TableECFTransport[Index],CONCATENATE($A8,"_LPG_LPG"))</f>
        <v>1.8282494279002804E-4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4.0592276695641895E-2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1.3186996839420753E-2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1.6741277999333607E-3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7.4147285144592371E-3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2.2652624314315281E-6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2.3362285092507569E-4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17.698298324177689</v>
      </c>
      <c r="C14" s="21"/>
      <c r="D14" s="21">
        <f t="shared" ref="D14:M14" si="0">((D5)*10^9/3600)+D12</f>
        <v>41.239917412162974</v>
      </c>
      <c r="E14" s="21">
        <f t="shared" si="0"/>
        <v>158.16569177546126</v>
      </c>
      <c r="F14" s="21"/>
      <c r="G14" s="21">
        <f t="shared" si="0"/>
        <v>53656.54785063304</v>
      </c>
      <c r="H14" s="21">
        <f t="shared" si="0"/>
        <v>11055.65735361503</v>
      </c>
      <c r="I14" s="21"/>
      <c r="J14" s="21"/>
      <c r="K14" s="21"/>
      <c r="L14" s="21"/>
      <c r="M14" s="21">
        <f t="shared" si="0"/>
        <v>2021.7106674607367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0.20906105753487078</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3.7000249642202188</v>
      </c>
      <c r="C18" s="23"/>
      <c r="D18" s="23">
        <f t="shared" ref="D18:M18" si="1">D14*D16</f>
        <v>8.3304633172569211</v>
      </c>
      <c r="E18" s="23">
        <f t="shared" si="1"/>
        <v>35.903612033029709</v>
      </c>
      <c r="F18" s="23"/>
      <c r="G18" s="23">
        <f t="shared" si="1"/>
        <v>14326.298276119023</v>
      </c>
      <c r="H18" s="23">
        <f t="shared" si="1"/>
        <v>2752.8586810501424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5.0236431626098097E-3</v>
      </c>
      <c r="H50" s="321">
        <f t="shared" si="2"/>
        <v>0</v>
      </c>
      <c r="I50" s="321">
        <f t="shared" si="2"/>
        <v>0</v>
      </c>
      <c r="J50" s="321">
        <f t="shared" si="2"/>
        <v>0</v>
      </c>
      <c r="K50" s="321">
        <f t="shared" si="2"/>
        <v>0</v>
      </c>
      <c r="L50" s="321">
        <f t="shared" si="2"/>
        <v>0</v>
      </c>
      <c r="M50" s="321">
        <f t="shared" si="2"/>
        <v>1.5582217209965575E-4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5.0236431626098097E-3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1.5582217209965575E-4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1395.4564340582806</v>
      </c>
      <c r="H54" s="21">
        <f t="shared" si="3"/>
        <v>0</v>
      </c>
      <c r="I54" s="21">
        <f t="shared" si="3"/>
        <v>0</v>
      </c>
      <c r="J54" s="21">
        <f t="shared" si="3"/>
        <v>0</v>
      </c>
      <c r="K54" s="21">
        <f t="shared" si="3"/>
        <v>0</v>
      </c>
      <c r="L54" s="21">
        <f t="shared" si="3"/>
        <v>0</v>
      </c>
      <c r="M54" s="21">
        <f t="shared" si="3"/>
        <v>43.283936694348824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0.20906105753487078</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372.58686789356096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8464.6752119142802</v>
      </c>
      <c r="C6" s="1203"/>
      <c r="D6" s="1188"/>
      <c r="E6" s="1188"/>
      <c r="F6" s="1206"/>
      <c r="G6" s="1209"/>
      <c r="H6" s="1200"/>
      <c r="I6" s="1188"/>
      <c r="J6" s="1188"/>
      <c r="K6" s="1188"/>
      <c r="L6" s="1192"/>
      <c r="M6" s="575"/>
      <c r="N6" s="1166"/>
      <c r="O6" s="1167"/>
      <c r="Q6" s="573"/>
      <c r="R6" s="1154"/>
      <c r="S6" s="1154"/>
    </row>
    <row r="7" spans="1:19" s="563" customFormat="1">
      <c r="A7" s="576" t="s">
        <v>252</v>
      </c>
      <c r="B7" s="577">
        <f>N57</f>
        <v>57805.65</v>
      </c>
      <c r="C7" s="578">
        <f>B100</f>
        <v>67955.294117647063</v>
      </c>
      <c r="D7" s="579"/>
      <c r="E7" s="579">
        <f>E100</f>
        <v>0</v>
      </c>
      <c r="F7" s="580"/>
      <c r="G7" s="581"/>
      <c r="H7" s="579">
        <f>I100</f>
        <v>0</v>
      </c>
      <c r="I7" s="579">
        <f>G100+F100</f>
        <v>0</v>
      </c>
      <c r="J7" s="579">
        <f>H100+D100+C100</f>
        <v>51.352941176470587</v>
      </c>
      <c r="K7" s="579"/>
      <c r="L7" s="582"/>
      <c r="M7" s="583">
        <f>C7*$C$11+D7*$D$11+E7*$E$11+F7*$F$11+G7*$G$11+H7*$H$11+I7*$I$11+J7*$J$11</f>
        <v>13726.969411764707</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66270.325211914285</v>
      </c>
      <c r="C9" s="594">
        <f t="shared" ref="C9:L9" si="0">SUM(C7:C8)</f>
        <v>67955.294117647063</v>
      </c>
      <c r="D9" s="594">
        <f t="shared" si="0"/>
        <v>0</v>
      </c>
      <c r="E9" s="594">
        <f t="shared" si="0"/>
        <v>0</v>
      </c>
      <c r="F9" s="594">
        <f t="shared" si="0"/>
        <v>0</v>
      </c>
      <c r="G9" s="594">
        <f t="shared" si="0"/>
        <v>0</v>
      </c>
      <c r="H9" s="594">
        <f t="shared" si="0"/>
        <v>0</v>
      </c>
      <c r="I9" s="594">
        <f t="shared" si="0"/>
        <v>0</v>
      </c>
      <c r="J9" s="594">
        <f t="shared" si="0"/>
        <v>51.352941176470587</v>
      </c>
      <c r="K9" s="594">
        <f t="shared" si="0"/>
        <v>0</v>
      </c>
      <c r="L9" s="594">
        <f t="shared" si="0"/>
        <v>0</v>
      </c>
      <c r="M9" s="595">
        <f>SUM(M4:M8)</f>
        <v>13726.969411764707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82579.5</v>
      </c>
      <c r="C16" s="610">
        <f>B101</f>
        <v>97078.991596638662</v>
      </c>
      <c r="D16" s="611"/>
      <c r="E16" s="611">
        <f>E101</f>
        <v>0</v>
      </c>
      <c r="F16" s="612"/>
      <c r="G16" s="613"/>
      <c r="H16" s="610">
        <f>I101</f>
        <v>0</v>
      </c>
      <c r="I16" s="611">
        <f>G101+F101</f>
        <v>0</v>
      </c>
      <c r="J16" s="611">
        <f>H101+D101+C101</f>
        <v>73.361344537815114</v>
      </c>
      <c r="K16" s="611"/>
      <c r="L16" s="614"/>
      <c r="M16" s="615">
        <f>C16*$C$21+E16*$E$21+H16*$H$21+I16*$I$21+J16*$J$21+D16*$D$21+F16*$F$21+G16*$G$21+K16*$K$21+L16*$L$21</f>
        <v>19609.956302521012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82579.5</v>
      </c>
      <c r="C19" s="593">
        <f>SUM(C16:C18)</f>
        <v>97078.991596638662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19609.956302521012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13035</v>
      </c>
      <c r="C27" s="851">
        <v>2381</v>
      </c>
      <c r="D27" s="672" t="s">
        <v>818</v>
      </c>
      <c r="E27" s="671" t="s">
        <v>819</v>
      </c>
      <c r="F27" s="671" t="s">
        <v>820</v>
      </c>
      <c r="G27" s="671" t="s">
        <v>821</v>
      </c>
      <c r="H27" s="671" t="s">
        <v>822</v>
      </c>
      <c r="I27" s="671" t="s">
        <v>819</v>
      </c>
      <c r="J27" s="850">
        <v>40388</v>
      </c>
      <c r="K27" s="850">
        <v>39083</v>
      </c>
      <c r="L27" s="671" t="s">
        <v>823</v>
      </c>
      <c r="M27" s="671">
        <v>5024</v>
      </c>
      <c r="N27" s="671">
        <v>22608</v>
      </c>
      <c r="O27" s="671">
        <v>32297.142857142859</v>
      </c>
      <c r="P27" s="671">
        <v>64594.285714285717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13035</v>
      </c>
      <c r="C28" s="851">
        <v>2382</v>
      </c>
      <c r="D28" s="672" t="s">
        <v>824</v>
      </c>
      <c r="E28" s="671" t="s">
        <v>825</v>
      </c>
      <c r="F28" s="671" t="s">
        <v>826</v>
      </c>
      <c r="G28" s="671" t="s">
        <v>821</v>
      </c>
      <c r="H28" s="671" t="s">
        <v>822</v>
      </c>
      <c r="I28" s="671" t="s">
        <v>825</v>
      </c>
      <c r="J28" s="850">
        <v>40162</v>
      </c>
      <c r="K28" s="850">
        <v>40163</v>
      </c>
      <c r="L28" s="671" t="s">
        <v>823</v>
      </c>
      <c r="M28" s="671">
        <v>2014</v>
      </c>
      <c r="N28" s="671">
        <v>9062.9999999999982</v>
      </c>
      <c r="O28" s="671">
        <v>12947.142857142855</v>
      </c>
      <c r="P28" s="671">
        <v>25894.28571428571</v>
      </c>
      <c r="Q28" s="671">
        <v>0</v>
      </c>
      <c r="R28" s="671">
        <v>0</v>
      </c>
      <c r="S28" s="671">
        <v>0</v>
      </c>
      <c r="T28" s="671">
        <v>0</v>
      </c>
      <c r="U28" s="671">
        <v>0</v>
      </c>
      <c r="V28" s="671">
        <v>0</v>
      </c>
      <c r="W28" s="671">
        <v>0</v>
      </c>
      <c r="X28" s="671">
        <v>10</v>
      </c>
      <c r="Y28" s="671" t="s">
        <v>112</v>
      </c>
      <c r="Z28" s="673" t="s">
        <v>112</v>
      </c>
    </row>
    <row r="29" spans="1:26" s="625" customFormat="1" ht="25.5">
      <c r="A29" s="624"/>
      <c r="B29" s="851">
        <v>13035</v>
      </c>
      <c r="C29" s="851">
        <v>2380</v>
      </c>
      <c r="D29" s="672" t="s">
        <v>827</v>
      </c>
      <c r="E29" s="671" t="s">
        <v>828</v>
      </c>
      <c r="F29" s="671" t="s">
        <v>829</v>
      </c>
      <c r="G29" s="671" t="s">
        <v>821</v>
      </c>
      <c r="H29" s="671" t="s">
        <v>822</v>
      </c>
      <c r="I29" s="671" t="s">
        <v>830</v>
      </c>
      <c r="J29" s="850">
        <v>41292</v>
      </c>
      <c r="K29" s="850">
        <v>41292</v>
      </c>
      <c r="L29" s="671" t="s">
        <v>823</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13035</v>
      </c>
      <c r="C30" s="851">
        <v>2381</v>
      </c>
      <c r="D30" s="672" t="s">
        <v>818</v>
      </c>
      <c r="E30" s="671" t="s">
        <v>819</v>
      </c>
      <c r="F30" s="671" t="s">
        <v>831</v>
      </c>
      <c r="G30" s="671" t="s">
        <v>821</v>
      </c>
      <c r="H30" s="671" t="s">
        <v>822</v>
      </c>
      <c r="I30" s="671" t="s">
        <v>832</v>
      </c>
      <c r="J30" s="850">
        <v>41953</v>
      </c>
      <c r="K30" s="850">
        <v>41953</v>
      </c>
      <c r="L30" s="671" t="s">
        <v>823</v>
      </c>
      <c r="M30" s="671">
        <v>2678</v>
      </c>
      <c r="N30" s="671">
        <v>12051</v>
      </c>
      <c r="O30" s="671">
        <v>17215.714285714286</v>
      </c>
      <c r="P30" s="671">
        <v>34431.428571428572</v>
      </c>
      <c r="Q30" s="671">
        <v>0</v>
      </c>
      <c r="R30" s="671">
        <v>0</v>
      </c>
      <c r="S30" s="671">
        <v>0</v>
      </c>
      <c r="T30" s="671">
        <v>0</v>
      </c>
      <c r="U30" s="671">
        <v>0</v>
      </c>
      <c r="V30" s="671">
        <v>0</v>
      </c>
      <c r="W30" s="671">
        <v>0</v>
      </c>
      <c r="X30" s="671">
        <v>10</v>
      </c>
      <c r="Y30" s="671" t="s">
        <v>112</v>
      </c>
      <c r="Z30" s="673" t="s">
        <v>112</v>
      </c>
    </row>
    <row r="31" spans="1:26" s="625" customFormat="1" ht="25.5">
      <c r="A31" s="624"/>
      <c r="B31" s="851">
        <v>13035</v>
      </c>
      <c r="C31" s="851">
        <v>2381</v>
      </c>
      <c r="D31" s="672" t="s">
        <v>833</v>
      </c>
      <c r="E31" s="671" t="s">
        <v>834</v>
      </c>
      <c r="F31" s="671" t="s">
        <v>835</v>
      </c>
      <c r="G31" s="671" t="s">
        <v>821</v>
      </c>
      <c r="H31" s="671" t="s">
        <v>822</v>
      </c>
      <c r="I31" s="671" t="s">
        <v>834</v>
      </c>
      <c r="J31" s="850">
        <v>41981</v>
      </c>
      <c r="K31" s="850">
        <v>41981</v>
      </c>
      <c r="L31" s="671" t="s">
        <v>823</v>
      </c>
      <c r="M31" s="671">
        <v>3120</v>
      </c>
      <c r="N31" s="671">
        <v>14040</v>
      </c>
      <c r="O31" s="671">
        <v>20057.142857142859</v>
      </c>
      <c r="P31" s="671">
        <v>40114.285714285717</v>
      </c>
      <c r="Q31" s="671">
        <v>0</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12845.7</v>
      </c>
      <c r="N57" s="629">
        <f>SUM(N27:N56)</f>
        <v>57805.65</v>
      </c>
      <c r="O57" s="629">
        <f t="shared" ref="O57:W57" si="2">SUM(O27:O56)</f>
        <v>82579.5</v>
      </c>
      <c r="P57" s="629">
        <f t="shared" si="2"/>
        <v>165034.28571428571</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12845.7</v>
      </c>
      <c r="N60" s="634">
        <f t="shared" ref="N60:W60" si="4">SUMIF($Z$27:$Z$56,"landbouw",N27:N56)</f>
        <v>57805.65</v>
      </c>
      <c r="O60" s="634">
        <f t="shared" si="4"/>
        <v>82579.5</v>
      </c>
      <c r="P60" s="634">
        <f t="shared" si="4"/>
        <v>165034.28571428571</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67955.294117647063</v>
      </c>
      <c r="C100" s="663">
        <f t="shared" si="9"/>
        <v>51.352941176470587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97078.991596638662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13117.06407266</v>
      </c>
      <c r="D10" s="718">
        <f ca="1">tertiair!C16</f>
        <v>0</v>
      </c>
      <c r="E10" s="718">
        <f ca="1">tertiair!D16</f>
        <v>11935.38426312782</v>
      </c>
      <c r="F10" s="718">
        <f>tertiair!E16</f>
        <v>197.36210572441064</v>
      </c>
      <c r="G10" s="718">
        <f ca="1">tertiair!F16</f>
        <v>3385.621280415432</v>
      </c>
      <c r="H10" s="718">
        <f>tertiair!G16</f>
        <v>0</v>
      </c>
      <c r="I10" s="718">
        <f>tertiair!H16</f>
        <v>0</v>
      </c>
      <c r="J10" s="718">
        <f>tertiair!I16</f>
        <v>0</v>
      </c>
      <c r="K10" s="718">
        <f>tertiair!J16</f>
        <v>0</v>
      </c>
      <c r="L10" s="718">
        <f>tertiair!K16</f>
        <v>0</v>
      </c>
      <c r="M10" s="718">
        <f ca="1">tertiair!L16</f>
        <v>0</v>
      </c>
      <c r="N10" s="718">
        <f>tertiair!M16</f>
        <v>0</v>
      </c>
      <c r="O10" s="718">
        <f ca="1">tertiair!N16</f>
        <v>1253.0600582386187</v>
      </c>
      <c r="P10" s="718">
        <f>tertiair!O16</f>
        <v>4.6900000000000004</v>
      </c>
      <c r="Q10" s="719">
        <f>tertiair!P16</f>
        <v>0</v>
      </c>
      <c r="R10" s="721">
        <f ca="1">SUM(C10:Q10)</f>
        <v>29893.181780166276</v>
      </c>
      <c r="S10" s="67"/>
    </row>
    <row r="11" spans="1:19" s="474" customFormat="1">
      <c r="A11" s="870" t="s">
        <v>225</v>
      </c>
      <c r="B11" s="875"/>
      <c r="C11" s="718">
        <f>huishoudens!B8</f>
        <v>26911.172730707556</v>
      </c>
      <c r="D11" s="718">
        <f>huishoudens!C8</f>
        <v>0</v>
      </c>
      <c r="E11" s="718">
        <f>huishoudens!D8</f>
        <v>61083.995058328001</v>
      </c>
      <c r="F11" s="718">
        <f>huishoudens!E8</f>
        <v>13281.747784581654</v>
      </c>
      <c r="G11" s="718">
        <f>huishoudens!F8</f>
        <v>15352.596614988546</v>
      </c>
      <c r="H11" s="718">
        <f>huishoudens!G8</f>
        <v>0</v>
      </c>
      <c r="I11" s="718">
        <f>huishoudens!H8</f>
        <v>0</v>
      </c>
      <c r="J11" s="718">
        <f>huishoudens!I8</f>
        <v>0</v>
      </c>
      <c r="K11" s="718">
        <f>huishoudens!J8</f>
        <v>0</v>
      </c>
      <c r="L11" s="718">
        <f>huishoudens!K8</f>
        <v>0</v>
      </c>
      <c r="M11" s="718">
        <f>huishoudens!L8</f>
        <v>0</v>
      </c>
      <c r="N11" s="718">
        <f>huishoudens!M8</f>
        <v>0</v>
      </c>
      <c r="O11" s="718">
        <f>huishoudens!N8</f>
        <v>30767.852721337498</v>
      </c>
      <c r="P11" s="718">
        <f>huishoudens!O8</f>
        <v>272.02000000000004</v>
      </c>
      <c r="Q11" s="719">
        <f>huishoudens!P8</f>
        <v>1048.6666666666667</v>
      </c>
      <c r="R11" s="721">
        <f>SUM(C11:Q11)</f>
        <v>148718.0515766099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26043.353003799999</v>
      </c>
      <c r="D13" s="718">
        <f>industrie!C18</f>
        <v>0</v>
      </c>
      <c r="E13" s="718">
        <f>industrie!D18</f>
        <v>27902.920763574162</v>
      </c>
      <c r="F13" s="718">
        <f>industrie!E18</f>
        <v>1453.5629607143662</v>
      </c>
      <c r="G13" s="718">
        <f>industrie!F18</f>
        <v>7227.032488277875</v>
      </c>
      <c r="H13" s="718">
        <f>industrie!G18</f>
        <v>0</v>
      </c>
      <c r="I13" s="718">
        <f>industrie!H18</f>
        <v>0</v>
      </c>
      <c r="J13" s="718">
        <f>industrie!I18</f>
        <v>0</v>
      </c>
      <c r="K13" s="718">
        <f>industrie!J18</f>
        <v>100.5158666048068</v>
      </c>
      <c r="L13" s="718">
        <f>industrie!K18</f>
        <v>0</v>
      </c>
      <c r="M13" s="718">
        <f>industrie!L18</f>
        <v>0</v>
      </c>
      <c r="N13" s="718">
        <f>industrie!M18</f>
        <v>0</v>
      </c>
      <c r="O13" s="718">
        <f>industrie!N18</f>
        <v>6507.4091153198187</v>
      </c>
      <c r="P13" s="718">
        <f>industrie!O18</f>
        <v>0</v>
      </c>
      <c r="Q13" s="719">
        <f>industrie!P18</f>
        <v>0</v>
      </c>
      <c r="R13" s="721">
        <f>SUM(C13:Q13)</f>
        <v>69234.794198291027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66071.589807167562</v>
      </c>
      <c r="D15" s="723">
        <f t="shared" ref="D15:Q15" ca="1" si="0">SUM(D9:D14)</f>
        <v>0</v>
      </c>
      <c r="E15" s="723">
        <f t="shared" ca="1" si="0"/>
        <v>100922.30008502999</v>
      </c>
      <c r="F15" s="723">
        <f t="shared" si="0"/>
        <v>14932.67285102043</v>
      </c>
      <c r="G15" s="723">
        <f t="shared" ca="1" si="0"/>
        <v>25965.250383681851</v>
      </c>
      <c r="H15" s="723">
        <f t="shared" si="0"/>
        <v>0</v>
      </c>
      <c r="I15" s="723">
        <f t="shared" si="0"/>
        <v>0</v>
      </c>
      <c r="J15" s="723">
        <f t="shared" si="0"/>
        <v>0</v>
      </c>
      <c r="K15" s="723">
        <f t="shared" si="0"/>
        <v>100.5158666048068</v>
      </c>
      <c r="L15" s="723">
        <f t="shared" si="0"/>
        <v>0</v>
      </c>
      <c r="M15" s="723">
        <f t="shared" ca="1" si="0"/>
        <v>0</v>
      </c>
      <c r="N15" s="723">
        <f t="shared" si="0"/>
        <v>0</v>
      </c>
      <c r="O15" s="723">
        <f t="shared" ca="1" si="0"/>
        <v>38528.321894895933</v>
      </c>
      <c r="P15" s="723">
        <f t="shared" si="0"/>
        <v>276.71000000000004</v>
      </c>
      <c r="Q15" s="724">
        <f t="shared" si="0"/>
        <v>1048.6666666666667</v>
      </c>
      <c r="R15" s="725">
        <f ca="1">SUM(R9:R14)</f>
        <v>247846.02755506721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1395.4564340582806</v>
      </c>
      <c r="I18" s="718">
        <f>transport!H54</f>
        <v>0</v>
      </c>
      <c r="J18" s="718">
        <f>transport!I54</f>
        <v>0</v>
      </c>
      <c r="K18" s="718">
        <f>transport!J54</f>
        <v>0</v>
      </c>
      <c r="L18" s="718">
        <f>transport!K54</f>
        <v>0</v>
      </c>
      <c r="M18" s="718">
        <f>transport!L54</f>
        <v>0</v>
      </c>
      <c r="N18" s="718">
        <f>transport!M54</f>
        <v>43.283936694348824</v>
      </c>
      <c r="O18" s="718">
        <f>transport!N54</f>
        <v>0</v>
      </c>
      <c r="P18" s="718">
        <f>transport!O54</f>
        <v>0</v>
      </c>
      <c r="Q18" s="719">
        <f>transport!P54</f>
        <v>0</v>
      </c>
      <c r="R18" s="721">
        <f>SUM(C18:Q18)</f>
        <v>1438.7403707526294</v>
      </c>
      <c r="S18" s="67"/>
    </row>
    <row r="19" spans="1:19" s="474" customFormat="1" ht="15" thickBot="1">
      <c r="A19" s="870" t="s">
        <v>307</v>
      </c>
      <c r="B19" s="875"/>
      <c r="C19" s="727">
        <f>transport!B14</f>
        <v>17.698298324177689</v>
      </c>
      <c r="D19" s="727">
        <f>transport!C14</f>
        <v>0</v>
      </c>
      <c r="E19" s="727">
        <f>transport!D14</f>
        <v>41.239917412162974</v>
      </c>
      <c r="F19" s="727">
        <f>transport!E14</f>
        <v>158.16569177546126</v>
      </c>
      <c r="G19" s="727">
        <f>transport!F14</f>
        <v>0</v>
      </c>
      <c r="H19" s="727">
        <f>transport!G14</f>
        <v>53656.54785063304</v>
      </c>
      <c r="I19" s="727">
        <f>transport!H14</f>
        <v>11055.65735361503</v>
      </c>
      <c r="J19" s="727">
        <f>transport!I14</f>
        <v>0</v>
      </c>
      <c r="K19" s="727">
        <f>transport!J14</f>
        <v>0</v>
      </c>
      <c r="L19" s="727">
        <f>transport!K14</f>
        <v>0</v>
      </c>
      <c r="M19" s="727">
        <f>transport!L14</f>
        <v>0</v>
      </c>
      <c r="N19" s="727">
        <f>transport!M14</f>
        <v>2021.7106674607367</v>
      </c>
      <c r="O19" s="727">
        <f>transport!N14</f>
        <v>0</v>
      </c>
      <c r="P19" s="727">
        <f>transport!O14</f>
        <v>0</v>
      </c>
      <c r="Q19" s="728">
        <f>transport!P14</f>
        <v>0</v>
      </c>
      <c r="R19" s="729">
        <f>SUM(C19:Q19)</f>
        <v>66951.019779220616</v>
      </c>
      <c r="S19" s="67"/>
    </row>
    <row r="20" spans="1:19" s="474" customFormat="1" ht="15.75" thickBot="1">
      <c r="A20" s="730" t="s">
        <v>230</v>
      </c>
      <c r="B20" s="878"/>
      <c r="C20" s="873">
        <f>SUM(C17:C19)</f>
        <v>17.698298324177689</v>
      </c>
      <c r="D20" s="731">
        <f t="shared" ref="D20:R20" si="1">SUM(D17:D19)</f>
        <v>0</v>
      </c>
      <c r="E20" s="731">
        <f t="shared" si="1"/>
        <v>41.239917412162974</v>
      </c>
      <c r="F20" s="731">
        <f t="shared" si="1"/>
        <v>158.16569177546126</v>
      </c>
      <c r="G20" s="731">
        <f t="shared" si="1"/>
        <v>0</v>
      </c>
      <c r="H20" s="731">
        <f t="shared" si="1"/>
        <v>55052.00428469132</v>
      </c>
      <c r="I20" s="731">
        <f t="shared" si="1"/>
        <v>11055.65735361503</v>
      </c>
      <c r="J20" s="731">
        <f t="shared" si="1"/>
        <v>0</v>
      </c>
      <c r="K20" s="731">
        <f t="shared" si="1"/>
        <v>0</v>
      </c>
      <c r="L20" s="731">
        <f t="shared" si="1"/>
        <v>0</v>
      </c>
      <c r="M20" s="731">
        <f t="shared" si="1"/>
        <v>0</v>
      </c>
      <c r="N20" s="731">
        <f t="shared" si="1"/>
        <v>2064.9946041550857</v>
      </c>
      <c r="O20" s="731">
        <f t="shared" si="1"/>
        <v>0</v>
      </c>
      <c r="P20" s="731">
        <f t="shared" si="1"/>
        <v>0</v>
      </c>
      <c r="Q20" s="732">
        <f t="shared" si="1"/>
        <v>0</v>
      </c>
      <c r="R20" s="733">
        <f t="shared" si="1"/>
        <v>68389.760149973241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10866.645198640001</v>
      </c>
      <c r="D22" s="727">
        <f>+landbouw!C8</f>
        <v>82579.5</v>
      </c>
      <c r="E22" s="727">
        <f>+landbouw!D8</f>
        <v>0</v>
      </c>
      <c r="F22" s="727">
        <f>+landbouw!E8</f>
        <v>280.20905657916813</v>
      </c>
      <c r="G22" s="727">
        <f>+landbouw!F8</f>
        <v>39719.657653079215</v>
      </c>
      <c r="H22" s="727">
        <f>+landbouw!G8</f>
        <v>0</v>
      </c>
      <c r="I22" s="727">
        <f>+landbouw!H8</f>
        <v>0</v>
      </c>
      <c r="J22" s="727">
        <f>+landbouw!I8</f>
        <v>0</v>
      </c>
      <c r="K22" s="727">
        <f>+landbouw!J8</f>
        <v>1564.3971610536914</v>
      </c>
      <c r="L22" s="727">
        <f>+landbouw!K8</f>
        <v>0</v>
      </c>
      <c r="M22" s="727">
        <f>+landbouw!L8</f>
        <v>0</v>
      </c>
      <c r="N22" s="727">
        <f>+landbouw!M8</f>
        <v>0</v>
      </c>
      <c r="O22" s="727">
        <f>+landbouw!N8</f>
        <v>0</v>
      </c>
      <c r="P22" s="727">
        <f>+landbouw!O8</f>
        <v>0</v>
      </c>
      <c r="Q22" s="728">
        <f>+landbouw!P8</f>
        <v>0</v>
      </c>
      <c r="R22" s="729">
        <f>SUM(C22:Q22)</f>
        <v>135010.40906935208</v>
      </c>
      <c r="S22" s="67"/>
    </row>
    <row r="23" spans="1:19" s="474" customFormat="1" ht="17.25" thickTop="1" thickBot="1">
      <c r="A23" s="734" t="s">
        <v>116</v>
      </c>
      <c r="B23" s="864"/>
      <c r="C23" s="735">
        <f ca="1">C20+C15+C22</f>
        <v>76955.933304131744</v>
      </c>
      <c r="D23" s="735">
        <f t="shared" ref="D23:Q23" ca="1" si="2">D20+D15+D22</f>
        <v>82579.5</v>
      </c>
      <c r="E23" s="735">
        <f t="shared" ca="1" si="2"/>
        <v>100963.54000244215</v>
      </c>
      <c r="F23" s="735">
        <f t="shared" si="2"/>
        <v>15371.047599375059</v>
      </c>
      <c r="G23" s="735">
        <f t="shared" ca="1" si="2"/>
        <v>65684.908036761073</v>
      </c>
      <c r="H23" s="735">
        <f t="shared" si="2"/>
        <v>55052.00428469132</v>
      </c>
      <c r="I23" s="735">
        <f t="shared" si="2"/>
        <v>11055.65735361503</v>
      </c>
      <c r="J23" s="735">
        <f t="shared" si="2"/>
        <v>0</v>
      </c>
      <c r="K23" s="735">
        <f t="shared" si="2"/>
        <v>1664.9130276584983</v>
      </c>
      <c r="L23" s="735">
        <f t="shared" si="2"/>
        <v>0</v>
      </c>
      <c r="M23" s="735">
        <f t="shared" ca="1" si="2"/>
        <v>0</v>
      </c>
      <c r="N23" s="735">
        <f t="shared" si="2"/>
        <v>2064.9946041550857</v>
      </c>
      <c r="O23" s="735">
        <f t="shared" ca="1" si="2"/>
        <v>38528.321894895933</v>
      </c>
      <c r="P23" s="735">
        <f t="shared" si="2"/>
        <v>276.71000000000004</v>
      </c>
      <c r="Q23" s="736">
        <f t="shared" si="2"/>
        <v>1048.6666666666667</v>
      </c>
      <c r="R23" s="737">
        <f ca="1">R20+R15+R22</f>
        <v>451246.19677439251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2742.2672867829583</v>
      </c>
      <c r="D36" s="718">
        <f ca="1">tertiair!C20</f>
        <v>0</v>
      </c>
      <c r="E36" s="718">
        <f ca="1">tertiair!D20</f>
        <v>2410.9476211518199</v>
      </c>
      <c r="F36" s="718">
        <f>tertiair!E20</f>
        <v>44.801197999441214</v>
      </c>
      <c r="G36" s="718">
        <f ca="1">tertiair!F20</f>
        <v>903.96088187092039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6101.9769878051393</v>
      </c>
    </row>
    <row r="37" spans="1:18">
      <c r="A37" s="885" t="s">
        <v>225</v>
      </c>
      <c r="B37" s="892"/>
      <c r="C37" s="718">
        <f ca="1">huishoudens!B12</f>
        <v>5626.0782305852981</v>
      </c>
      <c r="D37" s="718">
        <f ca="1">huishoudens!C12</f>
        <v>0</v>
      </c>
      <c r="E37" s="718">
        <f>huishoudens!D12</f>
        <v>12338.967001782257</v>
      </c>
      <c r="F37" s="718">
        <f>huishoudens!E12</f>
        <v>3014.9567471000355</v>
      </c>
      <c r="G37" s="718">
        <f>huishoudens!F12</f>
        <v>4099.1432962019417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25079.145275669533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5444.6509207283816</v>
      </c>
      <c r="D39" s="718">
        <f ca="1">industrie!C22</f>
        <v>0</v>
      </c>
      <c r="E39" s="718">
        <f>industrie!D22</f>
        <v>5636.3899942419812</v>
      </c>
      <c r="F39" s="718">
        <f>industrie!E22</f>
        <v>329.95879208216115</v>
      </c>
      <c r="G39" s="718">
        <f>industrie!F22</f>
        <v>1929.6176743701928</v>
      </c>
      <c r="H39" s="718">
        <f>industrie!G22</f>
        <v>0</v>
      </c>
      <c r="I39" s="718">
        <f>industrie!H22</f>
        <v>0</v>
      </c>
      <c r="J39" s="718">
        <f>industrie!I22</f>
        <v>0</v>
      </c>
      <c r="K39" s="718">
        <f>industrie!J22</f>
        <v>35.58261677810161</v>
      </c>
      <c r="L39" s="718">
        <f>industrie!K22</f>
        <v>0</v>
      </c>
      <c r="M39" s="718">
        <f>industrie!L22</f>
        <v>0</v>
      </c>
      <c r="N39" s="718">
        <f>industrie!M22</f>
        <v>0</v>
      </c>
      <c r="O39" s="718">
        <f>industrie!N22</f>
        <v>0</v>
      </c>
      <c r="P39" s="718">
        <f>industrie!O22</f>
        <v>0</v>
      </c>
      <c r="Q39" s="828">
        <f>industrie!P22</f>
        <v>0</v>
      </c>
      <c r="R39" s="918">
        <f ca="1">SUM(C39:Q39)</f>
        <v>13376.199998200818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13812.996438096638</v>
      </c>
      <c r="D41" s="763">
        <f t="shared" ref="D41:R41" ca="1" si="4">SUM(D35:D40)</f>
        <v>0</v>
      </c>
      <c r="E41" s="763">
        <f t="shared" ca="1" si="4"/>
        <v>20386.304617176058</v>
      </c>
      <c r="F41" s="763">
        <f t="shared" si="4"/>
        <v>3389.7167371816377</v>
      </c>
      <c r="G41" s="763">
        <f t="shared" ca="1" si="4"/>
        <v>6932.7218524430546</v>
      </c>
      <c r="H41" s="763">
        <f t="shared" si="4"/>
        <v>0</v>
      </c>
      <c r="I41" s="763">
        <f t="shared" si="4"/>
        <v>0</v>
      </c>
      <c r="J41" s="763">
        <f t="shared" si="4"/>
        <v>0</v>
      </c>
      <c r="K41" s="763">
        <f t="shared" si="4"/>
        <v>35.58261677810161</v>
      </c>
      <c r="L41" s="763">
        <f t="shared" si="4"/>
        <v>0</v>
      </c>
      <c r="M41" s="763">
        <f t="shared" ca="1" si="4"/>
        <v>0</v>
      </c>
      <c r="N41" s="763">
        <f t="shared" si="4"/>
        <v>0</v>
      </c>
      <c r="O41" s="763">
        <f t="shared" ca="1" si="4"/>
        <v>0</v>
      </c>
      <c r="P41" s="763">
        <f t="shared" si="4"/>
        <v>0</v>
      </c>
      <c r="Q41" s="764">
        <f t="shared" si="4"/>
        <v>0</v>
      </c>
      <c r="R41" s="765">
        <f t="shared" ca="1" si="4"/>
        <v>44557.322261675494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372.58686789356096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372.58686789356096</v>
      </c>
    </row>
    <row r="45" spans="1:18" ht="15" thickBot="1">
      <c r="A45" s="888" t="s">
        <v>307</v>
      </c>
      <c r="B45" s="898"/>
      <c r="C45" s="727">
        <f ca="1">transport!B18</f>
        <v>3.7000249642202188</v>
      </c>
      <c r="D45" s="727">
        <f>transport!C18</f>
        <v>0</v>
      </c>
      <c r="E45" s="727">
        <f>transport!D18</f>
        <v>8.3304633172569211</v>
      </c>
      <c r="F45" s="727">
        <f>transport!E18</f>
        <v>35.903612033029709</v>
      </c>
      <c r="G45" s="727">
        <f>transport!F18</f>
        <v>0</v>
      </c>
      <c r="H45" s="727">
        <f>transport!G18</f>
        <v>14326.298276119023</v>
      </c>
      <c r="I45" s="727">
        <f>transport!H18</f>
        <v>2752.8586810501424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17127.091057483674</v>
      </c>
    </row>
    <row r="46" spans="1:18" ht="15.75" thickBot="1">
      <c r="A46" s="886" t="s">
        <v>230</v>
      </c>
      <c r="B46" s="899"/>
      <c r="C46" s="763">
        <f t="shared" ref="C46:R46" ca="1" si="5">SUM(C43:C45)</f>
        <v>3.7000249642202188</v>
      </c>
      <c r="D46" s="763">
        <f t="shared" ca="1" si="5"/>
        <v>0</v>
      </c>
      <c r="E46" s="763">
        <f t="shared" si="5"/>
        <v>8.3304633172569211</v>
      </c>
      <c r="F46" s="763">
        <f t="shared" si="5"/>
        <v>35.903612033029709</v>
      </c>
      <c r="G46" s="763">
        <f t="shared" si="5"/>
        <v>0</v>
      </c>
      <c r="H46" s="763">
        <f t="shared" si="5"/>
        <v>14698.885144012584</v>
      </c>
      <c r="I46" s="763">
        <f t="shared" si="5"/>
        <v>2752.8586810501424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17499.677925377237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2271.7923370839044</v>
      </c>
      <c r="D48" s="718">
        <f ca="1">+landbouw!C12</f>
        <v>19609.956302521012</v>
      </c>
      <c r="E48" s="718">
        <f>+landbouw!D12</f>
        <v>0</v>
      </c>
      <c r="F48" s="718">
        <f>+landbouw!E12</f>
        <v>63.607455843471172</v>
      </c>
      <c r="G48" s="718">
        <f>+landbouw!F12</f>
        <v>10605.148593372151</v>
      </c>
      <c r="H48" s="718">
        <f>+landbouw!G12</f>
        <v>0</v>
      </c>
      <c r="I48" s="718">
        <f>+landbouw!H12</f>
        <v>0</v>
      </c>
      <c r="J48" s="718">
        <f>+landbouw!I12</f>
        <v>0</v>
      </c>
      <c r="K48" s="718">
        <f>+landbouw!J12</f>
        <v>553.79659501300671</v>
      </c>
      <c r="L48" s="718">
        <f>+landbouw!K12</f>
        <v>0</v>
      </c>
      <c r="M48" s="718">
        <f>+landbouw!L12</f>
        <v>0</v>
      </c>
      <c r="N48" s="718">
        <f>+landbouw!M12</f>
        <v>0</v>
      </c>
      <c r="O48" s="718">
        <f>+landbouw!N12</f>
        <v>0</v>
      </c>
      <c r="P48" s="718">
        <f>+landbouw!O12</f>
        <v>0</v>
      </c>
      <c r="Q48" s="719">
        <f>+landbouw!P12</f>
        <v>0</v>
      </c>
      <c r="R48" s="761">
        <f ca="1">SUM(C48:Q48)</f>
        <v>33104.301283833549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16088.488800144762</v>
      </c>
      <c r="D53" s="773">
        <f t="shared" ref="D53:Q53" ca="1" si="6">D41+D46+D48</f>
        <v>19609.956302521012</v>
      </c>
      <c r="E53" s="773">
        <f t="shared" ca="1" si="6"/>
        <v>20394.635080493314</v>
      </c>
      <c r="F53" s="773">
        <f t="shared" si="6"/>
        <v>3489.2278050581385</v>
      </c>
      <c r="G53" s="773">
        <f t="shared" ca="1" si="6"/>
        <v>17537.870445815206</v>
      </c>
      <c r="H53" s="773">
        <f t="shared" si="6"/>
        <v>14698.885144012584</v>
      </c>
      <c r="I53" s="773">
        <f t="shared" si="6"/>
        <v>2752.8586810501424</v>
      </c>
      <c r="J53" s="773">
        <f t="shared" si="6"/>
        <v>0</v>
      </c>
      <c r="K53" s="773">
        <f t="shared" si="6"/>
        <v>589.37921179110833</v>
      </c>
      <c r="L53" s="773">
        <f t="shared" si="6"/>
        <v>0</v>
      </c>
      <c r="M53" s="773">
        <f t="shared" ca="1" si="6"/>
        <v>0</v>
      </c>
      <c r="N53" s="773">
        <f t="shared" si="6"/>
        <v>0</v>
      </c>
      <c r="O53" s="773">
        <f t="shared" ca="1" si="6"/>
        <v>0</v>
      </c>
      <c r="P53" s="773">
        <f>P41+P46+P48</f>
        <v>0</v>
      </c>
      <c r="Q53" s="774">
        <f t="shared" si="6"/>
        <v>0</v>
      </c>
      <c r="R53" s="775">
        <f ca="1">R41+R46+R48</f>
        <v>95161.301470886276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0.20906105753487073</v>
      </c>
      <c r="D55" s="836">
        <f t="shared" ca="1" si="7"/>
        <v>0.23746760760868027</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8464.6752119142802</v>
      </c>
      <c r="C66" s="795">
        <f>'lokale energieproductie'!B6</f>
        <v>8464.6752119142802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57805.65</v>
      </c>
      <c r="C67" s="794">
        <f>B67*IFERROR(SUM(J67:L67)/SUM(D67:M67),0)</f>
        <v>43.65</v>
      </c>
      <c r="D67" s="826">
        <f>'lokale energieproductie'!C7</f>
        <v>67955.294117647063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13726.969411764707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66270.325211914285</v>
      </c>
      <c r="C69" s="803">
        <f>SUM(C64:C68)</f>
        <v>8508.3252119142799</v>
      </c>
      <c r="D69" s="804">
        <f t="shared" ref="D69:M69" si="8">SUM(D67:D68)</f>
        <v>67955.294117647063</v>
      </c>
      <c r="E69" s="804">
        <f t="shared" si="8"/>
        <v>0</v>
      </c>
      <c r="F69" s="804">
        <f t="shared" si="8"/>
        <v>0</v>
      </c>
      <c r="G69" s="804">
        <f t="shared" si="8"/>
        <v>0</v>
      </c>
      <c r="H69" s="804">
        <f t="shared" si="8"/>
        <v>0</v>
      </c>
      <c r="I69" s="804">
        <f t="shared" si="8"/>
        <v>0</v>
      </c>
      <c r="J69" s="804">
        <f t="shared" si="8"/>
        <v>0</v>
      </c>
      <c r="K69" s="804">
        <f t="shared" si="8"/>
        <v>51.352941176470587</v>
      </c>
      <c r="L69" s="804">
        <f t="shared" si="8"/>
        <v>0</v>
      </c>
      <c r="M69" s="930">
        <f t="shared" si="8"/>
        <v>0</v>
      </c>
      <c r="N69" s="805">
        <v>0</v>
      </c>
      <c r="O69" s="805">
        <f>SUM(O67:O68)</f>
        <v>13726.969411764707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82579.5</v>
      </c>
      <c r="C78" s="817">
        <f>B78*IFERROR(SUM(I78:L78)/SUM(D78:M78),0)</f>
        <v>62.35714285714284</v>
      </c>
      <c r="D78" s="832">
        <f>'lokale energieproductie'!C16</f>
        <v>97078.991596638662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19609.956302521012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82579.5</v>
      </c>
      <c r="C81" s="803">
        <f>SUM(C78:C80)</f>
        <v>62.35714285714284</v>
      </c>
      <c r="D81" s="803">
        <f t="shared" ref="D81:P81" si="9">SUM(D78:D80)</f>
        <v>97078.991596638662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19609.956302521012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26911.172730707556</v>
      </c>
      <c r="C4" s="478">
        <f>huishoudens!C8</f>
        <v>0</v>
      </c>
      <c r="D4" s="478">
        <f>huishoudens!D8</f>
        <v>61083.995058328001</v>
      </c>
      <c r="E4" s="478">
        <f>huishoudens!E8</f>
        <v>13281.747784581654</v>
      </c>
      <c r="F4" s="478">
        <f>huishoudens!F8</f>
        <v>15352.596614988546</v>
      </c>
      <c r="G4" s="478">
        <f>huishoudens!G8</f>
        <v>0</v>
      </c>
      <c r="H4" s="478">
        <f>huishoudens!H8</f>
        <v>0</v>
      </c>
      <c r="I4" s="478">
        <f>huishoudens!I8</f>
        <v>0</v>
      </c>
      <c r="J4" s="478">
        <f>huishoudens!J8</f>
        <v>0</v>
      </c>
      <c r="K4" s="478">
        <f>huishoudens!K8</f>
        <v>0</v>
      </c>
      <c r="L4" s="478">
        <f>huishoudens!L8</f>
        <v>0</v>
      </c>
      <c r="M4" s="478">
        <f>huishoudens!M8</f>
        <v>0</v>
      </c>
      <c r="N4" s="478">
        <f>huishoudens!N8</f>
        <v>30767.852721337498</v>
      </c>
      <c r="O4" s="478">
        <f>huishoudens!O8</f>
        <v>272.02000000000004</v>
      </c>
      <c r="P4" s="479">
        <f>huishoudens!P8</f>
        <v>1048.6666666666667</v>
      </c>
      <c r="Q4" s="480">
        <f>SUM(B4:P4)</f>
        <v>148718.0515766099</v>
      </c>
    </row>
    <row r="5" spans="1:17">
      <c r="A5" s="477" t="s">
        <v>156</v>
      </c>
      <c r="B5" s="478">
        <f ca="1">tertiair!B16</f>
        <v>12128.454072659999</v>
      </c>
      <c r="C5" s="478">
        <f ca="1">tertiair!C16</f>
        <v>0</v>
      </c>
      <c r="D5" s="478">
        <f ca="1">tertiair!D16</f>
        <v>11935.38426312782</v>
      </c>
      <c r="E5" s="478">
        <f>tertiair!E16</f>
        <v>197.36210572441064</v>
      </c>
      <c r="F5" s="478">
        <f ca="1">tertiair!F16</f>
        <v>3385.621280415432</v>
      </c>
      <c r="G5" s="478">
        <f>tertiair!G16</f>
        <v>0</v>
      </c>
      <c r="H5" s="478">
        <f>tertiair!H16</f>
        <v>0</v>
      </c>
      <c r="I5" s="478">
        <f>tertiair!I16</f>
        <v>0</v>
      </c>
      <c r="J5" s="478">
        <f>tertiair!J16</f>
        <v>0</v>
      </c>
      <c r="K5" s="478">
        <f>tertiair!K16</f>
        <v>0</v>
      </c>
      <c r="L5" s="478">
        <f ca="1">tertiair!L16</f>
        <v>0</v>
      </c>
      <c r="M5" s="478">
        <f>tertiair!M16</f>
        <v>0</v>
      </c>
      <c r="N5" s="478">
        <f ca="1">tertiair!N16</f>
        <v>1253.0600582386187</v>
      </c>
      <c r="O5" s="478">
        <f>tertiair!O16</f>
        <v>4.6900000000000004</v>
      </c>
      <c r="P5" s="479">
        <f>tertiair!P16</f>
        <v>0</v>
      </c>
      <c r="Q5" s="477">
        <f t="shared" ref="Q5:Q13" ca="1" si="0">SUM(B5:P5)</f>
        <v>28904.571780166276</v>
      </c>
    </row>
    <row r="6" spans="1:17">
      <c r="A6" s="477" t="s">
        <v>194</v>
      </c>
      <c r="B6" s="478">
        <f>'openbare verlichting'!B8</f>
        <v>988.61</v>
      </c>
      <c r="C6" s="478"/>
      <c r="D6" s="478"/>
      <c r="E6" s="478"/>
      <c r="F6" s="478"/>
      <c r="G6" s="478"/>
      <c r="H6" s="478"/>
      <c r="I6" s="478"/>
      <c r="J6" s="478"/>
      <c r="K6" s="478"/>
      <c r="L6" s="478"/>
      <c r="M6" s="478"/>
      <c r="N6" s="478"/>
      <c r="O6" s="478"/>
      <c r="P6" s="479"/>
      <c r="Q6" s="477">
        <f t="shared" si="0"/>
        <v>988.61</v>
      </c>
    </row>
    <row r="7" spans="1:17">
      <c r="A7" s="477" t="s">
        <v>112</v>
      </c>
      <c r="B7" s="478">
        <f>landbouw!B8</f>
        <v>10866.645198640001</v>
      </c>
      <c r="C7" s="478">
        <f>landbouw!C8</f>
        <v>82579.5</v>
      </c>
      <c r="D7" s="478">
        <f>landbouw!D8</f>
        <v>0</v>
      </c>
      <c r="E7" s="478">
        <f>landbouw!E8</f>
        <v>280.20905657916813</v>
      </c>
      <c r="F7" s="478">
        <f>landbouw!F8</f>
        <v>39719.657653079215</v>
      </c>
      <c r="G7" s="478">
        <f>landbouw!G8</f>
        <v>0</v>
      </c>
      <c r="H7" s="478">
        <f>landbouw!H8</f>
        <v>0</v>
      </c>
      <c r="I7" s="478">
        <f>landbouw!I8</f>
        <v>0</v>
      </c>
      <c r="J7" s="478">
        <f>landbouw!J8</f>
        <v>1564.3971610536914</v>
      </c>
      <c r="K7" s="478">
        <f>landbouw!K8</f>
        <v>0</v>
      </c>
      <c r="L7" s="478">
        <f>landbouw!L8</f>
        <v>0</v>
      </c>
      <c r="M7" s="478">
        <f>landbouw!M8</f>
        <v>0</v>
      </c>
      <c r="N7" s="478">
        <f>landbouw!N8</f>
        <v>0</v>
      </c>
      <c r="O7" s="478">
        <f>landbouw!O8</f>
        <v>0</v>
      </c>
      <c r="P7" s="479">
        <f>landbouw!P8</f>
        <v>0</v>
      </c>
      <c r="Q7" s="477">
        <f t="shared" si="0"/>
        <v>135010.40906935208</v>
      </c>
    </row>
    <row r="8" spans="1:17">
      <c r="A8" s="477" t="s">
        <v>638</v>
      </c>
      <c r="B8" s="478">
        <f>industrie!B18</f>
        <v>26043.353003799999</v>
      </c>
      <c r="C8" s="478">
        <f>industrie!C18</f>
        <v>0</v>
      </c>
      <c r="D8" s="478">
        <f>industrie!D18</f>
        <v>27902.920763574162</v>
      </c>
      <c r="E8" s="478">
        <f>industrie!E18</f>
        <v>1453.5629607143662</v>
      </c>
      <c r="F8" s="478">
        <f>industrie!F18</f>
        <v>7227.032488277875</v>
      </c>
      <c r="G8" s="478">
        <f>industrie!G18</f>
        <v>0</v>
      </c>
      <c r="H8" s="478">
        <f>industrie!H18</f>
        <v>0</v>
      </c>
      <c r="I8" s="478">
        <f>industrie!I18</f>
        <v>0</v>
      </c>
      <c r="J8" s="478">
        <f>industrie!J18</f>
        <v>100.5158666048068</v>
      </c>
      <c r="K8" s="478">
        <f>industrie!K18</f>
        <v>0</v>
      </c>
      <c r="L8" s="478">
        <f>industrie!L18</f>
        <v>0</v>
      </c>
      <c r="M8" s="478">
        <f>industrie!M18</f>
        <v>0</v>
      </c>
      <c r="N8" s="478">
        <f>industrie!N18</f>
        <v>6507.4091153198187</v>
      </c>
      <c r="O8" s="478">
        <f>industrie!O18</f>
        <v>0</v>
      </c>
      <c r="P8" s="479">
        <f>industrie!P18</f>
        <v>0</v>
      </c>
      <c r="Q8" s="477">
        <f t="shared" si="0"/>
        <v>69234.794198291027</v>
      </c>
    </row>
    <row r="9" spans="1:17" s="483" customFormat="1">
      <c r="A9" s="481" t="s">
        <v>564</v>
      </c>
      <c r="B9" s="482">
        <f>transport!B14</f>
        <v>17.698298324177689</v>
      </c>
      <c r="C9" s="482">
        <f>transport!C14</f>
        <v>0</v>
      </c>
      <c r="D9" s="482">
        <f>transport!D14</f>
        <v>41.239917412162974</v>
      </c>
      <c r="E9" s="482">
        <f>transport!E14</f>
        <v>158.16569177546126</v>
      </c>
      <c r="F9" s="482">
        <f>transport!F14</f>
        <v>0</v>
      </c>
      <c r="G9" s="482">
        <f>transport!G14</f>
        <v>53656.54785063304</v>
      </c>
      <c r="H9" s="482">
        <f>transport!H14</f>
        <v>11055.65735361503</v>
      </c>
      <c r="I9" s="482">
        <f>transport!I14</f>
        <v>0</v>
      </c>
      <c r="J9" s="482">
        <f>transport!J14</f>
        <v>0</v>
      </c>
      <c r="K9" s="482">
        <f>transport!K14</f>
        <v>0</v>
      </c>
      <c r="L9" s="482">
        <f>transport!L14</f>
        <v>0</v>
      </c>
      <c r="M9" s="482">
        <f>transport!M14</f>
        <v>2021.7106674607367</v>
      </c>
      <c r="N9" s="482">
        <f>transport!N14</f>
        <v>0</v>
      </c>
      <c r="O9" s="482">
        <f>transport!O14</f>
        <v>0</v>
      </c>
      <c r="P9" s="482">
        <f>transport!P14</f>
        <v>0</v>
      </c>
      <c r="Q9" s="481">
        <f>SUM(B9:P9)</f>
        <v>66951.019779220616</v>
      </c>
    </row>
    <row r="10" spans="1:17">
      <c r="A10" s="477" t="s">
        <v>554</v>
      </c>
      <c r="B10" s="478">
        <f>transport!B54</f>
        <v>0</v>
      </c>
      <c r="C10" s="478">
        <f>transport!C54</f>
        <v>0</v>
      </c>
      <c r="D10" s="478">
        <f>transport!D54</f>
        <v>0</v>
      </c>
      <c r="E10" s="478">
        <f>transport!E54</f>
        <v>0</v>
      </c>
      <c r="F10" s="478">
        <f>transport!F54</f>
        <v>0</v>
      </c>
      <c r="G10" s="478">
        <f>transport!G54</f>
        <v>1395.4564340582806</v>
      </c>
      <c r="H10" s="478">
        <f>transport!H54</f>
        <v>0</v>
      </c>
      <c r="I10" s="478">
        <f>transport!I54</f>
        <v>0</v>
      </c>
      <c r="J10" s="478">
        <f>transport!J54</f>
        <v>0</v>
      </c>
      <c r="K10" s="478">
        <f>transport!K54</f>
        <v>0</v>
      </c>
      <c r="L10" s="478">
        <f>transport!L54</f>
        <v>0</v>
      </c>
      <c r="M10" s="478">
        <f>transport!M54</f>
        <v>43.283936694348824</v>
      </c>
      <c r="N10" s="478">
        <f>transport!N54</f>
        <v>0</v>
      </c>
      <c r="O10" s="478">
        <f>transport!O54</f>
        <v>0</v>
      </c>
      <c r="P10" s="479">
        <f>transport!P54</f>
        <v>0</v>
      </c>
      <c r="Q10" s="477">
        <f t="shared" si="0"/>
        <v>1438.7403707526294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76955.93330413173</v>
      </c>
      <c r="C14" s="488">
        <f t="shared" ref="C14:Q14" ca="1" si="1">SUM(C4:C13)</f>
        <v>82579.5</v>
      </c>
      <c r="D14" s="488">
        <f t="shared" ca="1" si="1"/>
        <v>100963.54000244215</v>
      </c>
      <c r="E14" s="488">
        <f t="shared" si="1"/>
        <v>15371.047599375059</v>
      </c>
      <c r="F14" s="488">
        <f t="shared" ca="1" si="1"/>
        <v>65684.908036761073</v>
      </c>
      <c r="G14" s="488">
        <f t="shared" si="1"/>
        <v>55052.00428469132</v>
      </c>
      <c r="H14" s="488">
        <f t="shared" si="1"/>
        <v>11055.65735361503</v>
      </c>
      <c r="I14" s="488">
        <f t="shared" si="1"/>
        <v>0</v>
      </c>
      <c r="J14" s="488">
        <f t="shared" si="1"/>
        <v>1664.9130276584983</v>
      </c>
      <c r="K14" s="488">
        <f t="shared" si="1"/>
        <v>0</v>
      </c>
      <c r="L14" s="488">
        <f t="shared" ca="1" si="1"/>
        <v>0</v>
      </c>
      <c r="M14" s="488">
        <f t="shared" si="1"/>
        <v>2064.9946041550857</v>
      </c>
      <c r="N14" s="488">
        <f t="shared" ca="1" si="1"/>
        <v>38528.321894895933</v>
      </c>
      <c r="O14" s="488">
        <f t="shared" si="1"/>
        <v>276.71000000000004</v>
      </c>
      <c r="P14" s="489">
        <f t="shared" si="1"/>
        <v>1048.6666666666667</v>
      </c>
      <c r="Q14" s="489">
        <f t="shared" ca="1" si="1"/>
        <v>451246.19677439256</v>
      </c>
    </row>
    <row r="16" spans="1:17">
      <c r="A16" s="491" t="s">
        <v>559</v>
      </c>
      <c r="B16" s="841">
        <f ca="1">huishoudens!B10</f>
        <v>0.20906105753487078</v>
      </c>
      <c r="C16" s="841">
        <f ca="1">huishoudens!C10</f>
        <v>0.23746760760868027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5626.0782305852981</v>
      </c>
      <c r="C21" s="478">
        <f t="shared" ref="C21:C30" ca="1" si="3">C4*$C$16</f>
        <v>0</v>
      </c>
      <c r="D21" s="478">
        <f t="shared" ref="D21:D30" si="4">D4*$D$16</f>
        <v>12338.967001782257</v>
      </c>
      <c r="E21" s="478">
        <f t="shared" ref="E21:E30" si="5">E4*$E$16</f>
        <v>3014.9567471000355</v>
      </c>
      <c r="F21" s="478">
        <f t="shared" ref="F21:F30" si="6">F4*$F$16</f>
        <v>4099.1432962019417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25079.145275669533</v>
      </c>
    </row>
    <row r="22" spans="1:17">
      <c r="A22" s="477" t="s">
        <v>156</v>
      </c>
      <c r="B22" s="478">
        <f t="shared" ca="1" si="2"/>
        <v>2535.5874346934097</v>
      </c>
      <c r="C22" s="478">
        <f t="shared" ca="1" si="3"/>
        <v>0</v>
      </c>
      <c r="D22" s="478">
        <f t="shared" ca="1" si="4"/>
        <v>2410.9476211518199</v>
      </c>
      <c r="E22" s="478">
        <f t="shared" si="5"/>
        <v>44.801197999441214</v>
      </c>
      <c r="F22" s="478">
        <f t="shared" ca="1" si="6"/>
        <v>903.96088187092039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5895.2971357155911</v>
      </c>
    </row>
    <row r="23" spans="1:17">
      <c r="A23" s="477" t="s">
        <v>194</v>
      </c>
      <c r="B23" s="478">
        <f t="shared" ca="1" si="2"/>
        <v>206.6798520895486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206.6798520895486</v>
      </c>
    </row>
    <row r="24" spans="1:17">
      <c r="A24" s="477" t="s">
        <v>112</v>
      </c>
      <c r="B24" s="478">
        <f t="shared" ca="1" si="2"/>
        <v>2271.7923370839044</v>
      </c>
      <c r="C24" s="478">
        <f t="shared" ca="1" si="3"/>
        <v>19609.956302521012</v>
      </c>
      <c r="D24" s="478">
        <f t="shared" si="4"/>
        <v>0</v>
      </c>
      <c r="E24" s="478">
        <f t="shared" si="5"/>
        <v>63.607455843471172</v>
      </c>
      <c r="F24" s="478">
        <f t="shared" si="6"/>
        <v>10605.148593372151</v>
      </c>
      <c r="G24" s="478">
        <f t="shared" si="7"/>
        <v>0</v>
      </c>
      <c r="H24" s="478">
        <f t="shared" si="8"/>
        <v>0</v>
      </c>
      <c r="I24" s="478">
        <f t="shared" si="9"/>
        <v>0</v>
      </c>
      <c r="J24" s="478">
        <f t="shared" si="10"/>
        <v>553.79659501300671</v>
      </c>
      <c r="K24" s="478">
        <f t="shared" si="11"/>
        <v>0</v>
      </c>
      <c r="L24" s="478">
        <f t="shared" si="12"/>
        <v>0</v>
      </c>
      <c r="M24" s="478">
        <f t="shared" si="13"/>
        <v>0</v>
      </c>
      <c r="N24" s="478">
        <f t="shared" si="14"/>
        <v>0</v>
      </c>
      <c r="O24" s="478">
        <f t="shared" si="15"/>
        <v>0</v>
      </c>
      <c r="P24" s="479">
        <f t="shared" si="16"/>
        <v>0</v>
      </c>
      <c r="Q24" s="477">
        <f t="shared" ca="1" si="17"/>
        <v>33104.301283833549</v>
      </c>
    </row>
    <row r="25" spans="1:17">
      <c r="A25" s="477" t="s">
        <v>638</v>
      </c>
      <c r="B25" s="478">
        <f t="shared" ca="1" si="2"/>
        <v>5444.6509207283816</v>
      </c>
      <c r="C25" s="478">
        <f t="shared" ca="1" si="3"/>
        <v>0</v>
      </c>
      <c r="D25" s="478">
        <f t="shared" si="4"/>
        <v>5636.3899942419812</v>
      </c>
      <c r="E25" s="478">
        <f t="shared" si="5"/>
        <v>329.95879208216115</v>
      </c>
      <c r="F25" s="478">
        <f t="shared" si="6"/>
        <v>1929.6176743701928</v>
      </c>
      <c r="G25" s="478">
        <f t="shared" si="7"/>
        <v>0</v>
      </c>
      <c r="H25" s="478">
        <f t="shared" si="8"/>
        <v>0</v>
      </c>
      <c r="I25" s="478">
        <f t="shared" si="9"/>
        <v>0</v>
      </c>
      <c r="J25" s="478">
        <f t="shared" si="10"/>
        <v>35.58261677810161</v>
      </c>
      <c r="K25" s="478">
        <f t="shared" si="11"/>
        <v>0</v>
      </c>
      <c r="L25" s="478">
        <f t="shared" si="12"/>
        <v>0</v>
      </c>
      <c r="M25" s="478">
        <f t="shared" si="13"/>
        <v>0</v>
      </c>
      <c r="N25" s="478">
        <f t="shared" si="14"/>
        <v>0</v>
      </c>
      <c r="O25" s="478">
        <f t="shared" si="15"/>
        <v>0</v>
      </c>
      <c r="P25" s="479">
        <f t="shared" si="16"/>
        <v>0</v>
      </c>
      <c r="Q25" s="477">
        <f t="shared" ca="1" si="17"/>
        <v>13376.199998200818</v>
      </c>
    </row>
    <row r="26" spans="1:17" s="483" customFormat="1">
      <c r="A26" s="481" t="s">
        <v>564</v>
      </c>
      <c r="B26" s="835">
        <f t="shared" ca="1" si="2"/>
        <v>3.7000249642202188</v>
      </c>
      <c r="C26" s="482">
        <f t="shared" ca="1" si="3"/>
        <v>0</v>
      </c>
      <c r="D26" s="482">
        <f t="shared" si="4"/>
        <v>8.3304633172569211</v>
      </c>
      <c r="E26" s="482">
        <f t="shared" si="5"/>
        <v>35.903612033029709</v>
      </c>
      <c r="F26" s="482">
        <f t="shared" si="6"/>
        <v>0</v>
      </c>
      <c r="G26" s="482">
        <f t="shared" si="7"/>
        <v>14326.298276119023</v>
      </c>
      <c r="H26" s="482">
        <f t="shared" si="8"/>
        <v>2752.8586810501424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17127.091057483674</v>
      </c>
    </row>
    <row r="27" spans="1:17">
      <c r="A27" s="477" t="s">
        <v>554</v>
      </c>
      <c r="B27" s="478">
        <f t="shared" ca="1" si="2"/>
        <v>0</v>
      </c>
      <c r="C27" s="478">
        <f t="shared" ca="1" si="3"/>
        <v>0</v>
      </c>
      <c r="D27" s="478">
        <f t="shared" si="4"/>
        <v>0</v>
      </c>
      <c r="E27" s="478">
        <f t="shared" si="5"/>
        <v>0</v>
      </c>
      <c r="F27" s="478">
        <f t="shared" si="6"/>
        <v>0</v>
      </c>
      <c r="G27" s="478">
        <f t="shared" si="7"/>
        <v>372.58686789356096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372.58686789356096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16088.488800144763</v>
      </c>
      <c r="C31" s="488">
        <f t="shared" ca="1" si="18"/>
        <v>19609.956302521012</v>
      </c>
      <c r="D31" s="488">
        <f t="shared" ca="1" si="18"/>
        <v>20394.635080493314</v>
      </c>
      <c r="E31" s="488">
        <f t="shared" si="18"/>
        <v>3489.2278050581385</v>
      </c>
      <c r="F31" s="488">
        <f t="shared" ca="1" si="18"/>
        <v>17537.870445815206</v>
      </c>
      <c r="G31" s="488">
        <f t="shared" si="18"/>
        <v>14698.885144012584</v>
      </c>
      <c r="H31" s="488">
        <f t="shared" si="18"/>
        <v>2752.8586810501424</v>
      </c>
      <c r="I31" s="488">
        <f t="shared" si="18"/>
        <v>0</v>
      </c>
      <c r="J31" s="488">
        <f t="shared" si="18"/>
        <v>589.37921179110833</v>
      </c>
      <c r="K31" s="488">
        <f t="shared" si="18"/>
        <v>0</v>
      </c>
      <c r="L31" s="488">
        <f t="shared" ca="1" si="18"/>
        <v>0</v>
      </c>
      <c r="M31" s="488">
        <f t="shared" si="18"/>
        <v>0</v>
      </c>
      <c r="N31" s="488">
        <f t="shared" ca="1" si="18"/>
        <v>0</v>
      </c>
      <c r="O31" s="488">
        <f t="shared" si="18"/>
        <v>0</v>
      </c>
      <c r="P31" s="489">
        <f t="shared" si="18"/>
        <v>0</v>
      </c>
      <c r="Q31" s="489">
        <f t="shared" ca="1" si="18"/>
        <v>95161.301470886276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0.20906105753487078</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0.20906105753487078</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0.20906105753487078</v>
      </c>
      <c r="C29" s="529">
        <f ca="1">'EF ele_warmte'!B22</f>
        <v>0.23746760760868027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2018-06-27T09:41:12Z</dcterms:modified>
</cp:coreProperties>
</file>