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F16"/>
  <c r="C13" i="15"/>
  <c r="C16" s="1"/>
  <c r="D10" i="14" s="1"/>
  <c r="L6" i="17"/>
  <c r="L5" s="1"/>
  <c r="N16" i="16"/>
  <c r="B13" i="15"/>
  <c r="F6" i="17"/>
  <c r="B8" i="9"/>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J7" i="48"/>
  <c r="J24" s="1"/>
  <c r="I5"/>
  <c r="I22" s="1"/>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H14" i="22" l="1"/>
  <c r="I14" i="48"/>
  <c r="E7"/>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N20" s="1"/>
  <c r="N23" s="1"/>
  <c r="E5" i="48"/>
  <c r="E22" s="1"/>
  <c r="P14"/>
  <c r="B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9" i="18" l="1"/>
  <c r="M7"/>
  <c r="M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R10" i="14"/>
  <c r="C16" i="22" l="1"/>
  <c r="C10" i="17"/>
  <c r="C12" s="1"/>
  <c r="D48" i="14" s="1"/>
  <c r="C56" i="22"/>
  <c r="C58" s="1"/>
  <c r="D44" i="14" s="1"/>
  <c r="D46" s="1"/>
  <c r="C17" i="49"/>
  <c r="C29" i="20"/>
  <c r="C17" i="19"/>
  <c r="C19" s="1"/>
  <c r="D35" i="14" s="1"/>
  <c r="C20" i="16"/>
  <c r="C22" s="1"/>
  <c r="D39" i="14" s="1"/>
  <c r="C18" i="15"/>
  <c r="C20" s="1"/>
  <c r="D36" i="14" s="1"/>
  <c r="C10" i="13"/>
  <c r="C16" i="48" s="1"/>
  <c r="C30" s="1"/>
  <c r="J8"/>
  <c r="J25" s="1"/>
  <c r="J31" s="1"/>
  <c r="N25"/>
  <c r="N31" s="1"/>
  <c r="N14"/>
  <c r="E25"/>
  <c r="E31" s="1"/>
  <c r="E14"/>
  <c r="K13" i="14"/>
  <c r="K15" s="1"/>
  <c r="K23" s="1"/>
  <c r="K55" s="1"/>
  <c r="H55"/>
  <c r="E55"/>
  <c r="C78"/>
  <c r="C81" s="1"/>
  <c r="R19"/>
  <c r="R20" s="1"/>
  <c r="H14" i="48"/>
  <c r="G31"/>
  <c r="H26"/>
  <c r="H31" s="1"/>
  <c r="F55" i="14"/>
  <c r="O53"/>
  <c r="G53"/>
  <c r="G55" s="1"/>
  <c r="O69" s="1"/>
  <c r="B9" i="6" s="1"/>
  <c r="B12" s="1"/>
  <c r="M53" i="14"/>
  <c r="M55" s="1"/>
  <c r="C12" i="13"/>
  <c r="D37" i="14" s="1"/>
  <c r="D41" s="1"/>
  <c r="C23" i="48"/>
  <c r="C24"/>
  <c r="C27"/>
  <c r="C28"/>
  <c r="C22"/>
  <c r="C25"/>
  <c r="C29"/>
  <c r="C21"/>
  <c r="C26"/>
  <c r="F25"/>
  <c r="F31" s="1"/>
  <c r="F14"/>
  <c r="J14" l="1"/>
  <c r="Q8"/>
  <c r="Q14" s="1"/>
  <c r="R13" i="14"/>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<sst xmlns="http://schemas.openxmlformats.org/spreadsheetml/2006/main" count="2039" uniqueCount="864">
  <si>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</si>
  <si>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</si>
  <si>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</si>
  <si>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</si>
  <si>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</si>
  <si>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</si>
  <si>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</si>
  <si>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</si>
  <si>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</si>
  <si>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</si>
  <si>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</si>
  <si>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</si>
  <si>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</si>
  <si>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</si>
  <si>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</si>
  <si>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</si>
  <si>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</si>
  <si>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</si>
  <si>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</si>
  <si>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</si>
  <si>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</si>
  <si>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</si>
  <si>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</si>
  <si>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</si>
  <si>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</si>
  <si>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</si>
  <si>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</si>
  <si>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</si>
  <si>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</si>
  <si>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</si>
  <si>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</si>
  <si>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</si>
  <si>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</si>
  <si>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</si>
  <si>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</si>
  <si>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</si>
  <si>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</si>
  <si>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</si>
  <si>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</si>
  <si>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</si>
  <si>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</si>
  <si>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</si>
  <si>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</si>
  <si>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</si>
  <si>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</si>
  <si>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</si>
  <si>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</si>
  <si>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</si>
  <si>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</si>
  <si>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</si>
  <si>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</si>
  <si>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</si>
  <si>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</si>
  <si>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</si>
  <si>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</si>
  <si>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</si>
  <si>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</si>
  <si>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</si>
  <si>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</si>
  <si>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</si>
  <si>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</si>
  <si>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</si>
  <si>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</si>
  <si>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</si>
  <si>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</si>
  <si>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</si>
  <si>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</si>
  <si>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</si>
  <si>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</si>
  <si>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</si>
  <si>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</si>
  <si>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</si>
  <si>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</si>
  <si>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</si>
  <si>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</si>
  <si>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</si>
  <si>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</si>
  <si>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</si>
  <si>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</si>
  <si>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</si>
  <si>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</si>
  <si>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</si>
  <si>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</si>
  <si>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</si>
  <si>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</si>
  <si>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</si>
  <si>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</si>
  <si>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</si>
  <si>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</si>
  <si>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</si>
  <si>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</si>
  <si>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</si>
  <si>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</si>
  <si>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</si>
  <si>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</si>
  <si>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</si>
  <si>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</si>
  <si>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</si>
  <si>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</si>
  <si>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</si>
  <si>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</si>
  <si>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</si>
  <si>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</si>
  <si>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</si>
  <si>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</si>
  <si>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</si>
  <si>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</si>
  <si>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</si>
  <si>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</si>
  <si>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</si>
  <si>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</si>
  <si>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</si>
  <si>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</si>
  <si>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</si>
  <si>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</si>
  <si>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</si>
  <si>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</si>
  <si>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</si>
  <si>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</si>
  <si>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</si>
  <si>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</si>
  <si>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</si>
  <si>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</si>
  <si>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</si>
  <si>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</si>
  <si>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</si>
  <si>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</si>
  <si>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</si>
  <si>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</si>
  <si>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</si>
  <si>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</si>
  <si>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</si>
  <si>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</si>
  <si>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</si>
  <si>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</si>
  <si>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</si>
  <si>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</si>
  <si>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</si>
  <si>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</si>
  <si>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</si>
  <si>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</si>
  <si>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</si>
  <si>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</si>
  <si>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</si>
  <si>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</si>
  <si>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</si>
  <si>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</si>
  <si>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</si>
  <si>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</si>
  <si>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</si>
  <si>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</si>
  <si>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</si>
  <si>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</si>
  <si>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</si>
  <si>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</si>
  <si>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</si>
  <si>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</si>
  <si>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</si>
  <si>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</si>
  <si>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</si>
  <si>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</si>
  <si>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</si>
  <si>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</si>
  <si>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</si>
  <si>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</si>
  <si>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</si>
  <si>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</si>
  <si>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</si>
  <si>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</si>
  <si>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</si>
  <si>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</si>
  <si>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</si>
  <si>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</si>
  <si>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</si>
  <si>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</si>
  <si>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</si>
  <si>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</si>
  <si>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</si>
  <si>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</si>
  <si>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</si>
  <si>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</si>
  <si>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</si>
  <si>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</si>
  <si>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</si>
  <si>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</si>
  <si>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</si>
  <si>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</si>
  <si>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</si>
  <si>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</si>
  <si>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</si>
  <si>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</si>
  <si>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</si>
  <si>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</si>
  <si>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</si>
  <si>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</si>
  <si>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</si>
  <si>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</si>
  <si>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</si>
  <si>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</si>
  <si>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</si>
  <si>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</si>
  <si>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</si>
  <si>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</si>
  <si>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</si>
  <si>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</si>
  <si>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</si>
  <si>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</si>
  <si>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</si>
  <si>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</si>
  <si>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</si>
  <si>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</si>
  <si>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</si>
  <si>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</si>
  <si>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</si>
  <si>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</si>
  <si>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</si>
  <si>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</si>
  <si>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</si>
  <si>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</si>
  <si>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</si>
  <si>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</si>
  <si>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</si>
  <si>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</si>
  <si>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</si>
  <si>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</si>
  <si>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</si>
  <si>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</si>
  <si>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</si>
  <si>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</si>
  <si>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</si>
  <si>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</si>
  <si>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</si>
  <si>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</si>
  <si>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</si>
  <si>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</si>
  <si>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</si>
  <si>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</si>
  <si>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</si>
  <si>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</si>
  <si>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</si>
  <si>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</si>
  <si>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</si>
  <si>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</si>
  <si>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</si>
  <si>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</si>
  <si>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</si>
  <si>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</si>
  <si>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</si>
  <si>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</si>
  <si>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</si>
  <si>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</si>
  <si>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</si>
  <si>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</si>
  <si>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</si>
  <si>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</si>
  <si>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</si>
  <si>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</si>
  <si>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</si>
  <si>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</si>
  <si>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</si>
  <si>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</si>
  <si>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</si>
  <si>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</si>
  <si>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</si>
  <si>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</si>
  <si>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</si>
  <si>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</si>
  <si>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</si>
  <si>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</si>
  <si>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</si>
  <si>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</si>
  <si>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</si>
  <si>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</si>
  <si>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</si>
  <si>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</si>
  <si>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</si>
  <si>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</si>
  <si>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</si>
  <si>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</si>
  <si>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</si>
  <si>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</si>
  <si>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</si>
  <si>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</si>
  <si>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</si>
  <si>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</si>
  <si>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</si>
  <si>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</si>
  <si>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</si>
  <si>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</si>
  <si>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</si>
  <si>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</si>
  <si>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</si>
  <si>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</si>
  <si>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</si>
  <si>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</si>
  <si>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</si>
  <si>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</si>
  <si>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</si>
  <si>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</si>
  <si>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</si>
  <si>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</si>
  <si>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</si>
  <si>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</si>
  <si>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</si>
  <si>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</si>
  <si>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</si>
  <si>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</si>
  <si>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</si>
  <si>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</si>
  <si>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</si>
  <si>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</si>
  <si>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</si>
  <si>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</si>
  <si>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</si>
  <si>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</si>
  <si>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</si>
  <si>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</si>
  <si>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</si>
  <si>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</si>
  <si>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</si>
  <si>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</si>
  <si>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</si>
  <si>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</si>
  <si>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</si>
  <si>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</si>
  <si>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</si>
  <si>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</si>
  <si>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</si>
  <si>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</si>
  <si>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</si>
  <si>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</si>
  <si>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</si>
  <si>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</si>
  <si>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</si>
  <si>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</si>
  <si>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</si>
  <si>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</si>
  <si>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</si>
  <si>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</si>
  <si>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</si>
  <si>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</si>
  <si>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</si>
  <si>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</si>
  <si>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</si>
  <si>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</si>
  <si>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</si>
  <si>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</si>
  <si>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</si>
  <si>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</si>
  <si>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</si>
  <si>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</si>
  <si>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</si>
  <si>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</si>
  <si>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</si>
  <si>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</si>
  <si>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</si>
  <si>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</si>
  <si>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</si>
  <si>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</si>
  <si>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</si>
  <si>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</si>
  <si>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</si>
  <si>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</si>
  <si>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</si>
  <si>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</si>
  <si>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</si>
  <si>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</si>
  <si>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</si>
  <si>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</si>
  <si>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</si>
  <si>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</si>
  <si>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</si>
  <si>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</si>
  <si>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</si>
  <si>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</si>
  <si>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</si>
  <si>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</si>
  <si>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</si>
  <si>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</si>
  <si>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</si>
  <si>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</si>
  <si>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</si>
  <si>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</si>
  <si>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</si>
  <si>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</si>
  <si>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</si>
  <si>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</si>
  <si>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</si>
  <si>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</si>
  <si>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</si>
  <si>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</si>
  <si>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</si>
  <si>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</si>
  <si>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</si>
  <si>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</si>
  <si>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</si>
  <si>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</si>
  <si>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</si>
  <si>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</si>
  <si>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</si>
  <si>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</si>
  <si>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</si>
  <si>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</si>
  <si>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</si>
  <si>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</si>
  <si>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</si>
  <si>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</si>
  <si>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</si>
  <si>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</si>
  <si>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</si>
  <si>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</si>
  <si>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</si>
  <si>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</si>
  <si>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</si>
  <si>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</si>
  <si>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</si>
  <si>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</si>
  <si>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</si>
  <si>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</si>
  <si>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</si>
  <si>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</si>
  <si>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</si>
  <si>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</si>
  <si>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</si>
  <si>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</si>
  <si>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</si>
  <si>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</si>
  <si>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</si>
  <si>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</si>
  <si>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</si>
  <si>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</si>
  <si>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</si>
  <si>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</si>
  <si>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</si>
  <si>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</si>
  <si>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</si>
  <si>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</si>
  <si>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</si>
  <si>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</si>
  <si>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</si>
  <si>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</si>
  <si>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</si>
  <si>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</si>
  <si>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</si>
  <si>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</si>
  <si>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</si>
  <si>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</si>
  <si>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</si>
  <si>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</si>
  <si>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</si>
  <si>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</si>
  <si>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</si>
  <si>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</si>
  <si>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</si>
  <si>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</si>
  <si>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</si>
  <si>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</si>
  <si>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</si>
  <si>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</si>
  <si>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</si>
  <si>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</si>
  <si>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</si>
  <si>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</si>
  <si>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</si>
  <si>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</si>
  <si>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</si>
  <si>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</si>
  <si>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</si>
  <si>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</si>
  <si>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</si>
  <si>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</si>
  <si>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</si>
  <si>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</si>
  <si>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</si>
  <si>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</si>
  <si>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</si>
  <si>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</si>
  <si>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</si>
  <si>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</si>
  <si>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</si>
  <si>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</si>
  <si>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</si>
  <si>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</si>
  <si>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</si>
  <si>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</si>
  <si>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</si>
  <si>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</si>
  <si>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</si>
  <si>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</si>
  <si>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</si>
  <si>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</si>
  <si>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</si>
  <si>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</si>
  <si>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</si>
  <si>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</si>
  <si>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</si>
  <si>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</si>
  <si>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</si>
  <si>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</si>
  <si>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</si>
  <si>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</si>
  <si>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</si>
  <si>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</si>
  <si>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</si>
  <si>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</si>
  <si>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</si>
  <si>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</si>
  <si>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</si>
  <si>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</si>
  <si>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</si>
  <si>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</si>
  <si>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</si>
  <si>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</si>
  <si>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</si>
  <si>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</si>
  <si>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</si>
  <si>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</si>
  <si>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</si>
  <si>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</si>
  <si>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</si>
  <si>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</si>
  <si>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</si>
  <si>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</si>
  <si>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</si>
  <si>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</si>
  <si>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</si>
  <si>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</si>
  <si>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</si>
  <si>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</si>
  <si>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</si>
  <si>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</si>
  <si>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</si>
  <si>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</si>
  <si>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</si>
  <si>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</si>
  <si>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</si>
  <si>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</si>
  <si>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</si>
  <si>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</si>
  <si>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</si>
  <si>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</si>
  <si>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</si>
  <si>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</si>
  <si>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</si>
  <si>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</si>
  <si>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</si>
  <si>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</si>
  <si>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</si>
  <si>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</si>
  <si>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</si>
  <si>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</si>
  <si>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</si>
  <si>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</si>
  <si>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</si>
  <si>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</si>
  <si>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</si>
  <si>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</si>
  <si>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</si>
  <si>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</si>
  <si>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</si>
  <si>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</si>
  <si>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</si>
  <si>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</si>
  <si>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</si>
  <si>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</si>
  <si>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</si>
  <si>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</si>
  <si>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</si>
  <si>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</si>
  <si>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</si>
  <si>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</si>
  <si>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</si>
  <si>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</si>
  <si>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</si>
  <si>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</si>
  <si>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</si>
  <si>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</si>
  <si>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</si>
  <si>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</si>
  <si>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</si>
  <si>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</si>
  <si>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</si>
  <si>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</si>
  <si>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</si>
  <si>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</si>
  <si>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</si>
  <si>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</si>
  <si>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</si>
  <si>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</si>
  <si>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</si>
  <si>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</si>
  <si>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</si>
  <si>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</si>
  <si>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</si>
  <si>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</si>
  <si>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</si>
  <si>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</si>
  <si>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</si>
  <si>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</si>
  <si>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</si>
  <si>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</si>
  <si>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</si>
  <si>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</si>
  <si>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</si>
  <si>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</si>
  <si>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</si>
  <si>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</si>
  <si>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</si>
  <si>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</si>
  <si>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</si>
  <si>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</si>
  <si>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</si>
  <si>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</si>
  <si>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</si>
  <si>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</si>
  <si>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</si>
  <si>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</si>
  <si>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</si>
  <si>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</si>
  <si>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</si>
  <si>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</si>
  <si>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</si>
  <si>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</si>
  <si>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</si>
  <si>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</si>
  <si>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</si>
  <si>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</si>
  <si>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</si>
  <si>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</si>
  <si>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</si>
  <si>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</si>
  <si>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</si>
  <si>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</si>
  <si>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</si>
  <si>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</si>
  <si>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</si>
  <si>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</si>
  <si>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</si>
  <si>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</si>
  <si>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</si>
  <si>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</si>
  <si>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</si>
  <si>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</si>
  <si>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</si>
  <si>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</si>
  <si>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</si>
  <si>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</si>
  <si>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</si>
  <si>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</si>
  <si>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</si>
  <si>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</si>
  <si>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</si>
  <si>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</si>
  <si>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</si>
  <si>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</si>
  <si>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</si>
  <si>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</si>
  <si>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</si>
  <si>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</si>
  <si>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</si>
  <si>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</si>
  <si>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</si>
  <si>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</si>
  <si>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</si>
  <si>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</si>
  <si>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</si>
  <si>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</si>
  <si>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</si>
  <si>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</si>
  <si>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</si>
  <si>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</si>
  <si>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</si>
  <si>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</si>
  <si>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</si>
  <si>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</si>
  <si>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</si>
  <si>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</si>
  <si>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</si>
  <si>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</si>
  <si>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</si>
  <si>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</si>
  <si>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</si>
  <si>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</si>
  <si>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</si>
  <si>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</si>
  <si>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</si>
  <si>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</si>
  <si>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</si>
  <si>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</si>
  <si>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</si>
  <si>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</si>
  <si>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</si>
  <si>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</si>
  <si>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</si>
  <si>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</si>
  <si>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</si>
  <si>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</si>
  <si>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</si>
  <si>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</si>
  <si>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</si>
  <si>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</si>
  <si>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</si>
  <si>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</si>
  <si>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</si>
  <si>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</si>
  <si>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</si>
  <si>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</si>
  <si>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</si>
  <si>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</si>
  <si>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</si>
  <si>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</si>
  <si>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</si>
  <si>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</si>
  <si>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</si>
  <si>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</si>
  <si>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</si>
  <si>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</si>
  <si>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</si>
  <si>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</si>
  <si>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</si>
  <si>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</si>
  <si>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</si>
  <si>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</si>
  <si>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</si>
  <si>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</si>
  <si>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</si>
  <si>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</si>
  <si>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</si>
  <si>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</si>
  <si>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</si>
  <si>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</si>
  <si>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</si>
  <si>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</si>
  <si>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</si>
  <si>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</si>
  <si>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</si>
  <si>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</si>
  <si>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</si>
  <si>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</si>
  <si>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</si>
  <si>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</si>
  <si>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</si>
  <si>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</si>
  <si>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</si>
  <si>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</si>
  <si>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</si>
  <si>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</si>
  <si>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</si>
  <si>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</si>
  <si>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</si>
  <si>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</si>
  <si>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</si>
  <si>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</si>
  <si>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</si>
  <si>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</si>
  <si>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</si>
  <si>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</si>
  <si>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</si>
  <si>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</si>
  <si>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</si>
  <si>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</si>
  <si>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</si>
  <si>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</si>
  <si>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</si>
  <si>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</si>
  <si>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</si>
  <si>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</si>
  <si>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</si>
  <si>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</si>
  <si>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</si>
  <si>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</si>
  <si>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</si>
  <si>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</si>
  <si>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</si>
  <si>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</si>
  <si>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</si>
  <si>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</si>
  <si>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</si>
  <si>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</si>
  <si>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</si>
  <si>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</si>
  <si>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</si>
  <si>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</si>
  <si>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</si>
  <si>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</si>
  <si>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</si>
  <si>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</si>
  <si>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</si>
  <si>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</si>
  <si>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</si>
  <si>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</si>
  <si>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</si>
  <si>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</si>
  <si>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</si>
  <si>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</si>
  <si>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</si>
  <si>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</si>
  <si>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</si>
  <si>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</si>
  <si>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</si>
  <si>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</si>
  <si>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</si>
  <si>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</si>
  <si>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</si>
  <si>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</si>
  <si>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</si>
  <si>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</si>
  <si>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</si>
  <si>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</si>
  <si>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</si>
  <si>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13023</t>
  </si>
  <si>
    <t>MERKSPLAS</t>
  </si>
  <si>
    <t>Paarden&amp;pony's 200 - 600 kg</t>
  </si>
  <si>
    <t>Paarden&amp;pony's &lt; 200 kg</t>
  </si>
  <si>
    <t>referentietaak LNE (2017); Jaarverslag De Lijn (2015)</t>
  </si>
  <si>
    <t>op basis van VEA (maart 2018) en Inventaris Hernieuwbare Energiebronnen (juni 2018)</t>
  </si>
  <si>
    <t>VEA (januari 2017)</t>
  </si>
  <si>
    <t>VEA (juni 2018)</t>
  </si>
  <si>
    <t>Groeikracht Merksplas nv</t>
  </si>
  <si>
    <t>Horst 8, 2330 Merksplas</t>
  </si>
  <si>
    <t>WKK-0012a Groeikracht Merksplas</t>
  </si>
  <si>
    <t>interne verbrandingsmotor</t>
  </si>
  <si>
    <t>WKK interne verbrandinsgmotor (gas)</t>
  </si>
  <si>
    <t>IVEG</t>
  </si>
  <si>
    <t>Groeikracht De Markvallei nv</t>
  </si>
  <si>
    <t>Horst 12,, 2330 Merksplas</t>
  </si>
  <si>
    <t>WKK-0034a Groeikracht de Markvallei</t>
  </si>
  <si>
    <t>BVBA De Groentuin</t>
  </si>
  <si>
    <t>Koekhoven 41 A, 2330 Merksplas</t>
  </si>
  <si>
    <t>WKK-0052 De Groentuin</t>
  </si>
  <si>
    <t>Koekhoven 31, 2330 Merksplas</t>
  </si>
  <si>
    <t>Groeikracht Marvado NV</t>
  </si>
  <si>
    <t>Geheul 13, 2330 Merksplas</t>
  </si>
  <si>
    <t>WKK-0071 Groeikracht Marvado</t>
  </si>
  <si>
    <t>Kurt Dielis FV</t>
  </si>
  <si>
    <t>Koekhoven 59, 2330 Merksplas</t>
  </si>
  <si>
    <t>WKK-0126 Kurt Dielis</t>
  </si>
  <si>
    <t>Lauwerysen-Krijnen bvba</t>
  </si>
  <si>
    <t>Koekhoven 37, 2330 Merksplas</t>
  </si>
  <si>
    <t>WKK-0131 Lauwerysen-Krijnen</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</si>
  <si>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</si>
  <si>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</si>
  <si>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</si>
  <si>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</si>
  <si>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</si>
  <si>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</si>
  <si>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</si>
  <si>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</si>
  <si>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</si>
  <si>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</si>
  <si>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Hegro.Di bvba</t>
  </si>
  <si>
    <t>Koekhoven 38 , 2330 Merksplas</t>
  </si>
  <si>
    <t>WKK-0568 HegroDi</t>
  </si>
  <si>
    <t>Geri Comm.V</t>
  </si>
  <si>
    <t>Steenweg op Turnhout 218 , 2330 Merksplas</t>
  </si>
  <si>
    <t>WKK-0606 Geri</t>
  </si>
  <si>
    <t>WKK-0667 Lauwerysen-Krijnen II</t>
  </si>
  <si>
    <t>Koekhoven 37 , 2330 Merksplas</t>
  </si>
  <si>
    <t>EBEM BVBA</t>
  </si>
  <si>
    <t>Industrieweg 3-5 , 2330 Merksplas</t>
  </si>
  <si>
    <t>BGS-0025 IOK Merksplas-Beerse (GSC rest)</t>
  </si>
  <si>
    <t>biogas - stortgas</t>
  </si>
  <si>
    <t>niet WKK interne verbrandingsmotor (gas)</t>
  </si>
  <si>
    <t>Moerstraat - , 2330 Merksplas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</si>
</sst>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77385.549757507877</c:v>
                </c:pt>
                <c:pt idx="1">
                  <c:v>36475.616204917147</c:v>
                </c:pt>
                <c:pt idx="2">
                  <c:v>414.02699999999999</c:v>
                </c:pt>
                <c:pt idx="3">
                  <c:v>406977.45716231898</c:v>
                </c:pt>
                <c:pt idx="4">
                  <c:v>6309.0342584361006</c:v>
                </c:pt>
                <c:pt idx="5">
                  <c:v>43756.50122941687</c:v>
                </c:pt>
                <c:pt idx="6">
                  <c:v>891.07464442433309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62912"/>
        <c:axId val="183064448"/>
      </c:barChart>
      <c:catAx>
        <c:axId val="183062912"/>
        <c:scaling>
          <c:orientation val="minMax"/>
        </c:scaling>
        <c:axPos val="b"/>
        <c:numFmt formatCode="General" sourceLinked="0"/>
        <c:tickLblPos val="nextTo"/>
        <c:crossAx val="183064448"/>
        <c:crosses val="autoZero"/>
        <c:auto val="1"/>
        <c:lblAlgn val="ctr"/>
        <c:lblOffset val="100"/>
      </c:catAx>
      <c:valAx>
        <c:axId val="183064448"/>
        <c:scaling>
          <c:orientation val="minMax"/>
        </c:scaling>
        <c:axPos val="l"/>
        <c:majorGridlines/>
        <c:numFmt formatCode="#,##0" sourceLinked="1"/>
        <c:tickLblPos val="nextTo"/>
        <c:crossAx val="183062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77385.549757507877</c:v>
                </c:pt>
                <c:pt idx="1">
                  <c:v>36475.616204917147</c:v>
                </c:pt>
                <c:pt idx="2">
                  <c:v>414.02699999999999</c:v>
                </c:pt>
                <c:pt idx="3">
                  <c:v>406977.45716231898</c:v>
                </c:pt>
                <c:pt idx="4">
                  <c:v>6309.0342584361006</c:v>
                </c:pt>
                <c:pt idx="5">
                  <c:v>43756.50122941687</c:v>
                </c:pt>
                <c:pt idx="6">
                  <c:v>891.07464442433309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11705.243548302702</c:v>
                </c:pt>
                <c:pt idx="1">
                  <c:v>7613.9667612337034</c:v>
                </c:pt>
                <c:pt idx="2">
                  <c:v>84.381243034005109</c:v>
                </c:pt>
                <c:pt idx="3">
                  <c:v>87756.948683047827</c:v>
                </c:pt>
                <c:pt idx="4">
                  <c:v>1212.7447380297424</c:v>
                </c:pt>
                <c:pt idx="5">
                  <c:v>11188.447646700421</c:v>
                </c:pt>
                <c:pt idx="6">
                  <c:v>230.75929304170046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63008"/>
      </c:barChart>
      <c:catAx>
        <c:axId val="183405568"/>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11705.243548302702</c:v>
                </c:pt>
                <c:pt idx="1">
                  <c:v>7613.9667612337034</c:v>
                </c:pt>
                <c:pt idx="2">
                  <c:v>84.381243034005109</c:v>
                </c:pt>
                <c:pt idx="3">
                  <c:v>87756.948683047827</c:v>
                </c:pt>
                <c:pt idx="4">
                  <c:v>1212.7447380297424</c:v>
                </c:pt>
                <c:pt idx="5">
                  <c:v>11188.447646700421</c:v>
                </c:pt>
                <c:pt idx="6">
                  <c:v>230.75929304170046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13023</v>
      </c>
      <c r="B6" s="415"/>
      <c r="C6" s="416"/>
    </row>
    <row r="7" spans="1:7" s="413" customFormat="1" ht="15.75" customHeight="1">
      <c r="A7" s="417" t="str">
        <f>txtMunicipality</f>
        <v>MERKSPLAS</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13023</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3189</v>
      </c>
      <c r="C9" s="342">
        <v>3356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2562.2199999999998</v>
      </c>
    </row>
    <row r="15" spans="1:6">
      <c r="A15" s="348" t="s">
        <v>184</v>
      </c>
      <c r="B15" s="334">
        <v>12109</v>
      </c>
    </row>
    <row r="16" spans="1:6">
      <c r="A16" s="348" t="s">
        <v>6</v>
      </c>
      <c r="B16" s="334">
        <v>3527</v>
      </c>
    </row>
    <row r="17" spans="1:6">
      <c r="A17" s="348" t="s">
        <v>7</v>
      </c>
      <c r="B17" s="334">
        <v>550</v>
      </c>
    </row>
    <row r="18" spans="1:6">
      <c r="A18" s="348" t="s">
        <v>8</v>
      </c>
      <c r="B18" s="334">
        <v>2117</v>
      </c>
    </row>
    <row r="19" spans="1:6">
      <c r="A19" s="348" t="s">
        <v>9</v>
      </c>
      <c r="B19" s="334">
        <v>2034</v>
      </c>
    </row>
    <row r="20" spans="1:6">
      <c r="A20" s="348" t="s">
        <v>10</v>
      </c>
      <c r="B20" s="334">
        <v>920</v>
      </c>
    </row>
    <row r="21" spans="1:6">
      <c r="A21" s="348" t="s">
        <v>11</v>
      </c>
      <c r="B21" s="334">
        <v>19546</v>
      </c>
    </row>
    <row r="22" spans="1:6">
      <c r="A22" s="348" t="s">
        <v>12</v>
      </c>
      <c r="B22" s="334">
        <v>46377</v>
      </c>
    </row>
    <row r="23" spans="1:6">
      <c r="A23" s="348" t="s">
        <v>13</v>
      </c>
      <c r="B23" s="334">
        <v>1211</v>
      </c>
    </row>
    <row r="24" spans="1:6">
      <c r="A24" s="348" t="s">
        <v>14</v>
      </c>
      <c r="B24" s="334">
        <v>26</v>
      </c>
    </row>
    <row r="25" spans="1:6">
      <c r="A25" s="348" t="s">
        <v>15</v>
      </c>
      <c r="B25" s="334">
        <v>4645</v>
      </c>
    </row>
    <row r="26" spans="1:6">
      <c r="A26" s="348" t="s">
        <v>16</v>
      </c>
      <c r="B26" s="334">
        <v>4</v>
      </c>
    </row>
    <row r="27" spans="1:6">
      <c r="A27" s="348" t="s">
        <v>17</v>
      </c>
      <c r="B27" s="334">
        <v>779</v>
      </c>
    </row>
    <row r="28" spans="1:6" s="356" customFormat="1">
      <c r="A28" s="355" t="s">
        <v>18</v>
      </c>
      <c r="B28" s="355">
        <v>602013</v>
      </c>
    </row>
    <row r="29" spans="1:6">
      <c r="A29" s="355" t="s">
        <v>812</v>
      </c>
      <c r="B29" s="355">
        <v>85</v>
      </c>
      <c r="C29" s="356"/>
      <c r="D29" s="356"/>
      <c r="E29" s="356"/>
      <c r="F29" s="356"/>
    </row>
    <row r="30" spans="1:6">
      <c r="A30" s="355" t="s">
        <v>813</v>
      </c>
      <c r="B30" s="341">
        <v>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72249</v>
      </c>
    </row>
    <row r="36" spans="1:6">
      <c r="A36" s="348" t="s">
        <v>25</v>
      </c>
      <c r="B36" s="348" t="s">
        <v>27</v>
      </c>
      <c r="C36" s="334">
        <v>3</v>
      </c>
      <c r="D36" s="334">
        <v>143414966.56</v>
      </c>
      <c r="E36" s="334">
        <v>13</v>
      </c>
      <c r="F36" s="334">
        <v>544395</v>
      </c>
    </row>
    <row r="37" spans="1:6">
      <c r="A37" s="348" t="s">
        <v>25</v>
      </c>
      <c r="B37" s="348" t="s">
        <v>28</v>
      </c>
      <c r="C37" s="334">
        <v>0</v>
      </c>
      <c r="D37" s="334">
        <v>0</v>
      </c>
      <c r="E37" s="334">
        <v>0</v>
      </c>
      <c r="F37" s="334">
        <v>0</v>
      </c>
    </row>
    <row r="38" spans="1:6">
      <c r="A38" s="348" t="s">
        <v>25</v>
      </c>
      <c r="B38" s="348" t="s">
        <v>29</v>
      </c>
      <c r="C38" s="334">
        <v>3</v>
      </c>
      <c r="D38" s="334">
        <v>1171268.1532000001</v>
      </c>
      <c r="E38" s="334">
        <v>0</v>
      </c>
      <c r="F38" s="334">
        <v>0</v>
      </c>
    </row>
    <row r="39" spans="1:6">
      <c r="A39" s="348" t="s">
        <v>30</v>
      </c>
      <c r="B39" s="348" t="s">
        <v>31</v>
      </c>
      <c r="C39" s="334">
        <v>2316</v>
      </c>
      <c r="D39" s="334">
        <v>41668227.542000003</v>
      </c>
      <c r="E39" s="334">
        <v>3173</v>
      </c>
      <c r="F39" s="334">
        <v>12129218.790870899</v>
      </c>
    </row>
    <row r="40" spans="1:6">
      <c r="A40" s="348" t="s">
        <v>30</v>
      </c>
      <c r="B40" s="348" t="s">
        <v>29</v>
      </c>
      <c r="C40" s="334">
        <v>0</v>
      </c>
      <c r="D40" s="334">
        <v>0</v>
      </c>
      <c r="E40" s="334">
        <v>0</v>
      </c>
      <c r="F40" s="334">
        <v>0</v>
      </c>
    </row>
    <row r="41" spans="1:6">
      <c r="A41" s="348" t="s">
        <v>32</v>
      </c>
      <c r="B41" s="348" t="s">
        <v>33</v>
      </c>
      <c r="C41" s="334">
        <v>14</v>
      </c>
      <c r="D41" s="334">
        <v>400315.57981000002</v>
      </c>
      <c r="E41" s="334">
        <v>84</v>
      </c>
      <c r="F41" s="334">
        <v>777730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59415.805977999997</v>
      </c>
      <c r="E44" s="334">
        <v>18</v>
      </c>
      <c r="F44" s="334">
        <v>533988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635721.48872999998</v>
      </c>
      <c r="E48" s="334">
        <v>3</v>
      </c>
      <c r="F48" s="334">
        <v>34828</v>
      </c>
    </row>
    <row r="49" spans="1:6">
      <c r="A49" s="348" t="s">
        <v>32</v>
      </c>
      <c r="B49" s="348" t="s">
        <v>40</v>
      </c>
      <c r="C49" s="334">
        <v>0</v>
      </c>
      <c r="D49" s="334">
        <v>0</v>
      </c>
      <c r="E49" s="334">
        <v>0</v>
      </c>
      <c r="F49" s="334">
        <v>0</v>
      </c>
    </row>
    <row r="50" spans="1:6">
      <c r="A50" s="348" t="s">
        <v>32</v>
      </c>
      <c r="B50" s="348" t="s">
        <v>41</v>
      </c>
      <c r="C50" s="334">
        <v>4</v>
      </c>
      <c r="D50" s="334">
        <v>603930.77021999995</v>
      </c>
      <c r="E50" s="334">
        <v>8</v>
      </c>
      <c r="F50" s="334">
        <v>1243268</v>
      </c>
    </row>
    <row r="51" spans="1:6">
      <c r="A51" s="348" t="s">
        <v>42</v>
      </c>
      <c r="B51" s="348" t="s">
        <v>43</v>
      </c>
      <c r="C51" s="334">
        <v>14</v>
      </c>
      <c r="D51" s="334">
        <v>504258178</v>
      </c>
      <c r="E51" s="334">
        <v>142</v>
      </c>
      <c r="F51" s="334">
        <v>12890485</v>
      </c>
    </row>
    <row r="52" spans="1:6">
      <c r="A52" s="348" t="s">
        <v>42</v>
      </c>
      <c r="B52" s="348" t="s">
        <v>29</v>
      </c>
      <c r="C52" s="334">
        <v>6</v>
      </c>
      <c r="D52" s="334">
        <v>2793199.8760000002</v>
      </c>
      <c r="E52" s="334">
        <v>0</v>
      </c>
      <c r="F52" s="334">
        <v>0</v>
      </c>
    </row>
    <row r="53" spans="1:6">
      <c r="A53" s="348" t="s">
        <v>44</v>
      </c>
      <c r="B53" s="348" t="s">
        <v>45</v>
      </c>
      <c r="C53" s="334">
        <v>8</v>
      </c>
      <c r="D53" s="334">
        <v>202471.32707</v>
      </c>
      <c r="E53" s="334">
        <v>0</v>
      </c>
      <c r="F53" s="334">
        <v>0</v>
      </c>
    </row>
    <row r="54" spans="1:6">
      <c r="A54" s="348" t="s">
        <v>46</v>
      </c>
      <c r="B54" s="348" t="s">
        <v>47</v>
      </c>
      <c r="C54" s="334">
        <v>0</v>
      </c>
      <c r="D54" s="334">
        <v>0</v>
      </c>
      <c r="E54" s="334">
        <v>50</v>
      </c>
      <c r="F54" s="334">
        <v>414027</v>
      </c>
    </row>
    <row r="55" spans="1:6">
      <c r="A55" s="348" t="s">
        <v>46</v>
      </c>
      <c r="B55" s="348" t="s">
        <v>29</v>
      </c>
      <c r="C55" s="334">
        <v>0</v>
      </c>
      <c r="D55" s="334">
        <v>0</v>
      </c>
      <c r="E55" s="334">
        <v>0</v>
      </c>
      <c r="F55" s="334">
        <v>0</v>
      </c>
    </row>
    <row r="56" spans="1:6">
      <c r="A56" s="348" t="s">
        <v>48</v>
      </c>
      <c r="B56" s="348" t="s">
        <v>29</v>
      </c>
      <c r="C56" s="334">
        <v>0</v>
      </c>
      <c r="D56" s="334">
        <v>0</v>
      </c>
      <c r="E56" s="334">
        <v>24</v>
      </c>
      <c r="F56" s="334">
        <v>395839</v>
      </c>
    </row>
    <row r="57" spans="1:6">
      <c r="A57" s="348" t="s">
        <v>49</v>
      </c>
      <c r="B57" s="348" t="s">
        <v>50</v>
      </c>
      <c r="C57" s="334">
        <v>3</v>
      </c>
      <c r="D57" s="334">
        <v>74228.785722999994</v>
      </c>
      <c r="E57" s="334">
        <v>35</v>
      </c>
      <c r="F57" s="334">
        <v>3505722</v>
      </c>
    </row>
    <row r="58" spans="1:6">
      <c r="A58" s="348" t="s">
        <v>49</v>
      </c>
      <c r="B58" s="348" t="s">
        <v>51</v>
      </c>
      <c r="C58" s="334">
        <v>14</v>
      </c>
      <c r="D58" s="334">
        <v>4192248.2437999998</v>
      </c>
      <c r="E58" s="334">
        <v>25</v>
      </c>
      <c r="F58" s="334">
        <v>1104797</v>
      </c>
    </row>
    <row r="59" spans="1:6">
      <c r="A59" s="348" t="s">
        <v>49</v>
      </c>
      <c r="B59" s="348" t="s">
        <v>52</v>
      </c>
      <c r="C59" s="334">
        <v>21</v>
      </c>
      <c r="D59" s="334">
        <v>1208778.4768000001</v>
      </c>
      <c r="E59" s="334">
        <v>104</v>
      </c>
      <c r="F59" s="334">
        <v>2776087</v>
      </c>
    </row>
    <row r="60" spans="1:6">
      <c r="A60" s="348" t="s">
        <v>49</v>
      </c>
      <c r="B60" s="348" t="s">
        <v>53</v>
      </c>
      <c r="C60" s="334">
        <v>9</v>
      </c>
      <c r="D60" s="334">
        <v>363833.76741999999</v>
      </c>
      <c r="E60" s="334">
        <v>22</v>
      </c>
      <c r="F60" s="334">
        <v>1411785</v>
      </c>
    </row>
    <row r="61" spans="1:6">
      <c r="A61" s="348" t="s">
        <v>49</v>
      </c>
      <c r="B61" s="348" t="s">
        <v>54</v>
      </c>
      <c r="C61" s="334">
        <v>41</v>
      </c>
      <c r="D61" s="334">
        <v>11770565.767999999</v>
      </c>
      <c r="E61" s="334">
        <v>120</v>
      </c>
      <c r="F61" s="334">
        <v>4268888</v>
      </c>
    </row>
    <row r="62" spans="1:6">
      <c r="A62" s="348" t="s">
        <v>49</v>
      </c>
      <c r="B62" s="348" t="s">
        <v>55</v>
      </c>
      <c r="C62" s="334">
        <v>0</v>
      </c>
      <c r="D62" s="334">
        <v>0</v>
      </c>
      <c r="E62" s="334">
        <v>3</v>
      </c>
      <c r="F62" s="334">
        <v>141329</v>
      </c>
    </row>
    <row r="63" spans="1:6">
      <c r="A63" s="348" t="s">
        <v>49</v>
      </c>
      <c r="B63" s="348" t="s">
        <v>29</v>
      </c>
      <c r="C63" s="334">
        <v>52</v>
      </c>
      <c r="D63" s="334">
        <v>2467981.2533</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117170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45339452</v>
      </c>
      <c r="E73" s="476">
        <v>46595789.045936197</v>
      </c>
    </row>
    <row r="74" spans="1:6">
      <c r="A74" s="348" t="s">
        <v>64</v>
      </c>
      <c r="B74" s="348" t="s">
        <v>667</v>
      </c>
      <c r="C74" s="1212" t="s">
        <v>669</v>
      </c>
      <c r="D74" s="476">
        <v>3320479.749303299</v>
      </c>
      <c r="E74" s="476">
        <v>3412626.4532941845</v>
      </c>
    </row>
    <row r="75" spans="1:6">
      <c r="A75" s="348" t="s">
        <v>65</v>
      </c>
      <c r="B75" s="348" t="s">
        <v>666</v>
      </c>
      <c r="C75" s="1212" t="s">
        <v>670</v>
      </c>
      <c r="D75" s="476">
        <v>8228368</v>
      </c>
      <c r="E75" s="476">
        <v>8450637.9421992507</v>
      </c>
    </row>
    <row r="76" spans="1:6">
      <c r="A76" s="348" t="s">
        <v>65</v>
      </c>
      <c r="B76" s="348" t="s">
        <v>667</v>
      </c>
      <c r="C76" s="1212" t="s">
        <v>671</v>
      </c>
      <c r="D76" s="476">
        <v>210244.74930329918</v>
      </c>
      <c r="E76" s="476">
        <v>219081.39956548513</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239330.50139340168</v>
      </c>
      <c r="C83" s="476">
        <v>239330.50139340168</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2207.4619336744545</v>
      </c>
    </row>
    <row r="92" spans="1:6">
      <c r="A92" s="341" t="s">
        <v>69</v>
      </c>
      <c r="B92" s="342">
        <v>1464.0609207884065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1528</v>
      </c>
    </row>
    <row r="98" spans="1:6">
      <c r="A98" s="348" t="s">
        <v>72</v>
      </c>
      <c r="B98" s="334">
        <v>2</v>
      </c>
    </row>
    <row r="99" spans="1:6">
      <c r="A99" s="348" t="s">
        <v>73</v>
      </c>
      <c r="B99" s="334">
        <v>75</v>
      </c>
    </row>
    <row r="100" spans="1:6">
      <c r="A100" s="348" t="s">
        <v>74</v>
      </c>
      <c r="B100" s="334">
        <v>103</v>
      </c>
    </row>
    <row r="101" spans="1:6">
      <c r="A101" s="348" t="s">
        <v>75</v>
      </c>
      <c r="B101" s="334">
        <v>100</v>
      </c>
    </row>
    <row r="102" spans="1:6">
      <c r="A102" s="348" t="s">
        <v>76</v>
      </c>
      <c r="B102" s="334">
        <v>31</v>
      </c>
    </row>
    <row r="103" spans="1:6">
      <c r="A103" s="348" t="s">
        <v>77</v>
      </c>
      <c r="B103" s="334">
        <v>63</v>
      </c>
    </row>
    <row r="104" spans="1:6">
      <c r="A104" s="348" t="s">
        <v>78</v>
      </c>
      <c r="B104" s="334">
        <v>786</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4</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56</v>
      </c>
    </row>
    <row r="130" spans="1:6">
      <c r="A130" s="348" t="s">
        <v>295</v>
      </c>
      <c r="B130" s="334">
        <v>3</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45099.167552646351</v>
      </c>
      <c r="C3" s="43" t="s">
        <v>170</v>
      </c>
      <c r="D3" s="43"/>
      <c r="E3" s="154"/>
      <c r="F3" s="43"/>
      <c r="G3" s="43"/>
      <c r="H3" s="43"/>
      <c r="I3" s="43"/>
      <c r="J3" s="43"/>
      <c r="K3" s="96"/>
    </row>
    <row r="4" spans="1:11">
      <c r="A4" s="383" t="s">
        <v>171</v>
      </c>
      <c r="B4" s="49">
        <f>IF(ISERROR('SEAP template'!B69),0,'SEAP template'!B69)</f>
        <v>246665.67285446284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50271.977647058833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0.20380613591385371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71817.110924369757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344781.6428571429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0.20829737433012499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414.02699999999999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414.02699999999999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0.20380613591385371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84.381243034005109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12129.2187908709</v>
      </c>
      <c r="C5" s="17">
        <f>IF(ISERROR('Eigen informatie GS &amp; warmtenet'!B57),0,'Eigen informatie GS &amp; warmtenet'!B57)</f>
        <v>0</v>
      </c>
      <c r="D5" s="30">
        <f>(SUM(HH_hh_gas_kWh,HH_rest_gas_kWh)/1000)*0.902</f>
        <v>37584.741242884003</v>
      </c>
      <c r="E5" s="17">
        <f>B46*B57</f>
        <v>5247.6754050216568</v>
      </c>
      <c r="F5" s="17">
        <f>B51*B62</f>
        <v>0</v>
      </c>
      <c r="G5" s="18"/>
      <c r="H5" s="17"/>
      <c r="I5" s="17"/>
      <c r="J5" s="17">
        <f>B50*B61+C50*C61</f>
        <v>0</v>
      </c>
      <c r="K5" s="17"/>
      <c r="L5" s="17"/>
      <c r="M5" s="17"/>
      <c r="N5" s="17">
        <f>B48*B59+C48*C59</f>
        <v>19871.659051723531</v>
      </c>
      <c r="O5" s="17">
        <f>B69*B70*B71</f>
        <v>96.926666666666677</v>
      </c>
      <c r="P5" s="17">
        <f>B77*B78*B79/1000-B77*B78*B79/1000/B80</f>
        <v>247.86666666666667</v>
      </c>
    </row>
    <row r="6" spans="1:16">
      <c r="A6" s="16" t="s">
        <v>624</v>
      </c>
      <c r="B6" s="843">
        <f>kWh_PV_kleiner_dan_10kW</f>
        <v>2207.4619336744545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14336.680724545355</v>
      </c>
      <c r="C8" s="21">
        <f>C5</f>
        <v>0</v>
      </c>
      <c r="D8" s="21">
        <f>D5</f>
        <v>37584.741242884003</v>
      </c>
      <c r="E8" s="21">
        <f>E5</f>
        <v>5247.6754050216568</v>
      </c>
      <c r="F8" s="21">
        <f>F5</f>
        <v>0</v>
      </c>
      <c r="G8" s="21"/>
      <c r="H8" s="21"/>
      <c r="I8" s="21"/>
      <c r="J8" s="21">
        <f>J5</f>
        <v>0</v>
      </c>
      <c r="K8" s="21"/>
      <c r="L8" s="21">
        <f>L5</f>
        <v>0</v>
      </c>
      <c r="M8" s="21">
        <f>M5</f>
        <v>0</v>
      </c>
      <c r="N8" s="21">
        <f>N5</f>
        <v>19871.659051723531</v>
      </c>
      <c r="O8" s="21">
        <f>O5</f>
        <v>96.926666666666677</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0.20380613591385371</v>
      </c>
      <c r="C10" s="25">
        <f ca="1">'EF ele_warmte'!B22</f>
        <v>0.20829737433012499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2921.9035003002173</v>
      </c>
      <c r="C12" s="23">
        <f ca="1">C10*C8</f>
        <v>0</v>
      </c>
      <c r="D12" s="23">
        <f>D8*D10</f>
        <v>7592.117731062569</v>
      </c>
      <c r="E12" s="23">
        <f>E10*E8</f>
        <v>1191.2223169399163</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1528</v>
      </c>
      <c r="C18" s="166" t="s">
        <v>111</v>
      </c>
      <c r="D18" s="228"/>
      <c r="E18" s="15"/>
    </row>
    <row r="19" spans="1:7">
      <c r="A19" s="171" t="s">
        <v>72</v>
      </c>
      <c r="B19" s="37">
        <f>aantalw2001_ander</f>
        <v>2</v>
      </c>
      <c r="C19" s="166" t="s">
        <v>111</v>
      </c>
      <c r="D19" s="229"/>
      <c r="E19" s="15"/>
    </row>
    <row r="20" spans="1:7">
      <c r="A20" s="171" t="s">
        <v>73</v>
      </c>
      <c r="B20" s="37">
        <f>aantalw2001_propaan</f>
        <v>75</v>
      </c>
      <c r="C20" s="167">
        <f>IF(ISERROR(B20/SUM($B$20,$B$21,$B$22)*100),0,B20/SUM($B$20,$B$21,$B$22)*100)</f>
        <v>26.978417266187048</v>
      </c>
      <c r="D20" s="229"/>
      <c r="E20" s="15"/>
    </row>
    <row r="21" spans="1:7">
      <c r="A21" s="171" t="s">
        <v>74</v>
      </c>
      <c r="B21" s="37">
        <f>aantalw2001_elektriciteit</f>
        <v>103</v>
      </c>
      <c r="C21" s="167">
        <f>IF(ISERROR(B21/SUM($B$20,$B$21,$B$22)*100),0,B21/SUM($B$20,$B$21,$B$22)*100)</f>
        <v>37.050359712230211</v>
      </c>
      <c r="D21" s="229"/>
      <c r="E21" s="15"/>
    </row>
    <row r="22" spans="1:7">
      <c r="A22" s="171" t="s">
        <v>75</v>
      </c>
      <c r="B22" s="37">
        <f>aantalw2001_hout</f>
        <v>100</v>
      </c>
      <c r="C22" s="167">
        <f>IF(ISERROR(B22/SUM($B$20,$B$21,$B$22)*100),0,B22/SUM($B$20,$B$21,$B$22)*100)</f>
        <v>35.97122302158273</v>
      </c>
      <c r="D22" s="229"/>
      <c r="E22" s="15"/>
    </row>
    <row r="23" spans="1:7">
      <c r="A23" s="171" t="s">
        <v>76</v>
      </c>
      <c r="B23" s="37">
        <f>aantalw2001_niet_gespec</f>
        <v>31</v>
      </c>
      <c r="C23" s="166" t="s">
        <v>111</v>
      </c>
      <c r="D23" s="228"/>
      <c r="E23" s="15"/>
    </row>
    <row r="24" spans="1:7">
      <c r="A24" s="171" t="s">
        <v>77</v>
      </c>
      <c r="B24" s="37">
        <f>aantalw2001_steenkool</f>
        <v>63</v>
      </c>
      <c r="C24" s="166" t="s">
        <v>111</v>
      </c>
      <c r="D24" s="229"/>
      <c r="E24" s="15"/>
    </row>
    <row r="25" spans="1:7">
      <c r="A25" s="171" t="s">
        <v>78</v>
      </c>
      <c r="B25" s="37">
        <f>aantalw2001_stookolie</f>
        <v>786</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3189</v>
      </c>
      <c r="C28" s="36"/>
      <c r="D28" s="228"/>
    </row>
    <row r="29" spans="1:7" s="15" customFormat="1">
      <c r="A29" s="230" t="s">
        <v>699</v>
      </c>
      <c r="B29" s="37">
        <f>SUM(HH_hh_gas_aantal,HH_rest_gas_aantal)</f>
        <v>2316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2316</v>
      </c>
      <c r="C32" s="167">
        <f>IF(ISERROR(B32/SUM($B$32,$B$34,$B$35,$B$36,$B$38,$B$39)*100),0,B32/SUM($B$32,$B$34,$B$35,$B$36,$B$38,$B$39)*100)</f>
        <v>72.92191435768261</v>
      </c>
      <c r="D32" s="233"/>
      <c r="G32" s="15"/>
    </row>
    <row r="33" spans="1:7">
      <c r="A33" s="171" t="s">
        <v>72</v>
      </c>
      <c r="B33" s="34" t="s">
        <v>111</v>
      </c>
      <c r="C33" s="167"/>
      <c r="D33" s="233"/>
      <c r="G33" s="15"/>
    </row>
    <row r="34" spans="1:7">
      <c r="A34" s="171" t="s">
        <v>73</v>
      </c>
      <c r="B34" s="33">
        <f>IF((($B$28-$B$32-$B$39-$B$77-$B$38)*C20/100)&lt;0,0,($B$28-$B$32-$B$39-$B$77-$B$38)*C20/100)</f>
        <v>232.01438848920861</v>
      </c>
      <c r="C34" s="167">
        <f>IF(ISERROR(B34/SUM($B$32,$B$34,$B$35,$B$36,$B$38,$B$39)*100),0,B34/SUM($B$32,$B$34,$B$35,$B$36,$B$38,$B$39)*100)</f>
        <v>7.3052389322798685</v>
      </c>
      <c r="D34" s="233"/>
      <c r="G34" s="15"/>
    </row>
    <row r="35" spans="1:7">
      <c r="A35" s="171" t="s">
        <v>74</v>
      </c>
      <c r="B35" s="33">
        <f>IF((($B$28-$B$32-$B$39-$B$77-$B$38)*C21/100)&lt;0,0,($B$28-$B$32-$B$39-$B$77-$B$38)*C21/100)</f>
        <v>318.63309352517985</v>
      </c>
      <c r="C35" s="167">
        <f>IF(ISERROR(B35/SUM($B$32,$B$34,$B$35,$B$36,$B$38,$B$39)*100),0,B35/SUM($B$32,$B$34,$B$35,$B$36,$B$38,$B$39)*100)</f>
        <v>10.032528133664353</v>
      </c>
      <c r="D35" s="233"/>
      <c r="G35" s="15"/>
    </row>
    <row r="36" spans="1:7">
      <c r="A36" s="171" t="s">
        <v>75</v>
      </c>
      <c r="B36" s="33">
        <f>IF((($B$28-$B$32-$B$39-$B$77-$B$38)*C22/100)&lt;0,0,($B$28-$B$32-$B$39-$B$77-$B$38)*C22/100)</f>
        <v>309.35251798561148</v>
      </c>
      <c r="C36" s="167">
        <f>IF(ISERROR(B36/SUM($B$32,$B$34,$B$35,$B$36,$B$38,$B$39)*100),0,B36/SUM($B$32,$B$34,$B$35,$B$36,$B$38,$B$39)*100)</f>
        <v>9.7403185763731575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2316</v>
      </c>
      <c r="C44" s="34" t="s">
        <v>111</v>
      </c>
      <c r="D44" s="174"/>
    </row>
    <row r="45" spans="1:7">
      <c r="A45" s="171" t="s">
        <v>72</v>
      </c>
      <c r="B45" s="33" t="str">
        <f t="shared" si="0"/>
        <v>-</v>
      </c>
      <c r="C45" s="34" t="s">
        <v>111</v>
      </c>
      <c r="D45" s="174"/>
    </row>
    <row r="46" spans="1:7">
      <c r="A46" s="171" t="s">
        <v>73</v>
      </c>
      <c r="B46" s="33">
        <f t="shared" si="0"/>
        <v>232.01438848920861</v>
      </c>
      <c r="C46" s="34" t="s">
        <v>111</v>
      </c>
      <c r="D46" s="174"/>
    </row>
    <row r="47" spans="1:7">
      <c r="A47" s="171" t="s">
        <v>74</v>
      </c>
      <c r="B47" s="33">
        <f t="shared" si="0"/>
        <v>318.63309352517985</v>
      </c>
      <c r="C47" s="34" t="s">
        <v>111</v>
      </c>
      <c r="D47" s="174"/>
    </row>
    <row r="48" spans="1:7">
      <c r="A48" s="171" t="s">
        <v>75</v>
      </c>
      <c r="B48" s="33">
        <f t="shared" si="0"/>
        <v>309.35251798561148</v>
      </c>
      <c r="C48" s="33">
        <f>B48*10</f>
        <v>3093.5251798561148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13208.608</v>
      </c>
      <c r="C5" s="17">
        <f>IF(ISERROR('Eigen informatie GS &amp; warmtenet'!B58),0,'Eigen informatie GS &amp; warmtenet'!B58)</f>
        <v>0</v>
      </c>
      <c r="D5" s="30">
        <f>SUM(D6:D12)</f>
        <v>18110.027938128784</v>
      </c>
      <c r="E5" s="17">
        <f>SUM(E6:E12)</f>
        <v>195.88616579338256</v>
      </c>
      <c r="F5" s="17">
        <f>SUM(F6:F12)</f>
        <v>3309.4041009949788</v>
      </c>
      <c r="G5" s="18"/>
      <c r="H5" s="17"/>
      <c r="I5" s="17"/>
      <c r="J5" s="17">
        <f>SUM(J6:J12)</f>
        <v>0</v>
      </c>
      <c r="K5" s="17"/>
      <c r="L5" s="17"/>
      <c r="M5" s="17"/>
      <c r="N5" s="17">
        <f>SUM(N6:N12)</f>
        <v>2783.9022997382986</v>
      </c>
      <c r="O5" s="17">
        <f>B38*B39*B40</f>
        <v>4.6900000000000004</v>
      </c>
      <c r="P5" s="17">
        <f>B46*B47*B48/1000-B46*B47*B48/1000/B49</f>
        <v>0</v>
      </c>
      <c r="R5" s="32"/>
    </row>
    <row r="6" spans="1:18">
      <c r="A6" s="32" t="s">
        <v>54</v>
      </c>
      <c r="B6" s="37">
        <f>B26</f>
        <v>4268.8879999999999</v>
      </c>
      <c r="C6" s="33"/>
      <c r="D6" s="37">
        <f>IF(ISERROR(TER_kantoor_gas_kWh/1000),0,TER_kantoor_gas_kWh/1000)*0.902</f>
        <v>10617.050322735999</v>
      </c>
      <c r="E6" s="33">
        <f>$C$26*'E Balans VL '!I12/100/3.6*1000000</f>
        <v>55.885002427511246</v>
      </c>
      <c r="F6" s="33">
        <f>$C$26*('E Balans VL '!L12+'E Balans VL '!N12)/100/3.6*1000000</f>
        <v>1088.5223269592464</v>
      </c>
      <c r="G6" s="34"/>
      <c r="H6" s="33"/>
      <c r="I6" s="33"/>
      <c r="J6" s="33">
        <f>$C$26*('E Balans VL '!D12+'E Balans VL '!E12)/100/3.6*1000000</f>
        <v>0</v>
      </c>
      <c r="K6" s="33"/>
      <c r="L6" s="33"/>
      <c r="M6" s="33"/>
      <c r="N6" s="33">
        <f>$C$26*'E Balans VL '!Y12/100/3.6*1000000</f>
        <v>4.2832632516863667</v>
      </c>
      <c r="O6" s="33"/>
      <c r="P6" s="33"/>
      <c r="R6" s="32"/>
    </row>
    <row r="7" spans="1:18">
      <c r="A7" s="32" t="s">
        <v>53</v>
      </c>
      <c r="B7" s="37">
        <f t="shared" ref="B7:B12" si="0">B27</f>
        <v>1411.7850000000001</v>
      </c>
      <c r="C7" s="33"/>
      <c r="D7" s="37">
        <f>IF(ISERROR(TER_horeca_gas_kWh/1000),0,TER_horeca_gas_kWh/1000)*0.902</f>
        <v>328.17805821284003</v>
      </c>
      <c r="E7" s="33">
        <f>$C$27*'E Balans VL '!I9/100/3.6*1000000</f>
        <v>46.721495899924129</v>
      </c>
      <c r="F7" s="33">
        <f>$C$27*('E Balans VL '!L9+'E Balans VL '!N9)/100/3.6*1000000</f>
        <v>607.06213938450151</v>
      </c>
      <c r="G7" s="34"/>
      <c r="H7" s="33"/>
      <c r="I7" s="33"/>
      <c r="J7" s="33">
        <f>$C$27*('E Balans VL '!D9+'E Balans VL '!E9)/100/3.6*1000000</f>
        <v>0</v>
      </c>
      <c r="K7" s="33"/>
      <c r="L7" s="33"/>
      <c r="M7" s="33"/>
      <c r="N7" s="33">
        <f>$C$27*'E Balans VL '!Y9/100/3.6*1000000</f>
        <v>0.33983715086803817</v>
      </c>
      <c r="O7" s="33"/>
      <c r="P7" s="33"/>
      <c r="R7" s="32"/>
    </row>
    <row r="8" spans="1:18">
      <c r="A8" s="6" t="s">
        <v>52</v>
      </c>
      <c r="B8" s="37">
        <f t="shared" si="0"/>
        <v>2776.087</v>
      </c>
      <c r="C8" s="33"/>
      <c r="D8" s="37">
        <f>IF(ISERROR(TER_handel_gas_kWh/1000),0,TER_handel_gas_kWh/1000)*0.902</f>
        <v>1090.3181860736001</v>
      </c>
      <c r="E8" s="33">
        <f>$C$28*'E Balans VL '!I13/100/3.6*1000000</f>
        <v>87.617547454674039</v>
      </c>
      <c r="F8" s="33">
        <f>$C$28*('E Balans VL '!L13+'E Balans VL '!N13)/100/3.6*1000000</f>
        <v>544.43954455709115</v>
      </c>
      <c r="G8" s="34"/>
      <c r="H8" s="33"/>
      <c r="I8" s="33"/>
      <c r="J8" s="33">
        <f>$C$28*('E Balans VL '!D13+'E Balans VL '!E13)/100/3.6*1000000</f>
        <v>0</v>
      </c>
      <c r="K8" s="33"/>
      <c r="L8" s="33"/>
      <c r="M8" s="33"/>
      <c r="N8" s="33">
        <f>$C$28*'E Balans VL '!Y13/100/3.6*1000000</f>
        <v>3.2946762983256055</v>
      </c>
      <c r="O8" s="33"/>
      <c r="P8" s="33"/>
      <c r="R8" s="32"/>
    </row>
    <row r="9" spans="1:18">
      <c r="A9" s="32" t="s">
        <v>51</v>
      </c>
      <c r="B9" s="37">
        <f t="shared" si="0"/>
        <v>1104.797</v>
      </c>
      <c r="C9" s="33"/>
      <c r="D9" s="37">
        <f>IF(ISERROR(TER_gezond_gas_kWh/1000),0,TER_gezond_gas_kWh/1000)*0.902</f>
        <v>3781.4079159076</v>
      </c>
      <c r="E9" s="33">
        <f>$C$29*'E Balans VL '!I10/100/3.6*1000000</f>
        <v>0.14144633611911214</v>
      </c>
      <c r="F9" s="33">
        <f>$C$29*('E Balans VL '!L10+'E Balans VL '!N10)/100/3.6*1000000</f>
        <v>230.17552138593467</v>
      </c>
      <c r="G9" s="34"/>
      <c r="H9" s="33"/>
      <c r="I9" s="33"/>
      <c r="J9" s="33">
        <f>$C$29*('E Balans VL '!D10+'E Balans VL '!E10)/100/3.6*1000000</f>
        <v>0</v>
      </c>
      <c r="K9" s="33"/>
      <c r="L9" s="33"/>
      <c r="M9" s="33"/>
      <c r="N9" s="33">
        <f>$C$29*'E Balans VL '!Y10/100/3.6*1000000</f>
        <v>12.976362960713093</v>
      </c>
      <c r="O9" s="33"/>
      <c r="P9" s="33"/>
      <c r="R9" s="32"/>
    </row>
    <row r="10" spans="1:18">
      <c r="A10" s="32" t="s">
        <v>50</v>
      </c>
      <c r="B10" s="37">
        <f t="shared" si="0"/>
        <v>3505.7220000000002</v>
      </c>
      <c r="C10" s="33"/>
      <c r="D10" s="37">
        <f>IF(ISERROR(TER_ander_gas_kWh/1000),0,TER_ander_gas_kWh/1000)*0.902</f>
        <v>66.954364722145996</v>
      </c>
      <c r="E10" s="33">
        <f>$C$30*'E Balans VL '!I14/100/3.6*1000000</f>
        <v>5.2717814628247837</v>
      </c>
      <c r="F10" s="33">
        <f>$C$30*('E Balans VL '!L14+'E Balans VL '!N14)/100/3.6*1000000</f>
        <v>773.95041206417966</v>
      </c>
      <c r="G10" s="34"/>
      <c r="H10" s="33"/>
      <c r="I10" s="33"/>
      <c r="J10" s="33">
        <f>$C$30*('E Balans VL '!D14+'E Balans VL '!E14)/100/3.6*1000000</f>
        <v>0</v>
      </c>
      <c r="K10" s="33"/>
      <c r="L10" s="33"/>
      <c r="M10" s="33"/>
      <c r="N10" s="33">
        <f>$C$30*'E Balans VL '!Y14/100/3.6*1000000</f>
        <v>2762.7448621952976</v>
      </c>
      <c r="O10" s="33"/>
      <c r="P10" s="33"/>
      <c r="R10" s="32"/>
    </row>
    <row r="11" spans="1:18">
      <c r="A11" s="32" t="s">
        <v>55</v>
      </c>
      <c r="B11" s="37">
        <f t="shared" si="0"/>
        <v>141.32900000000001</v>
      </c>
      <c r="C11" s="33"/>
      <c r="D11" s="37">
        <f>IF(ISERROR(TER_onderwijs_gas_kWh/1000),0,TER_onderwijs_gas_kWh/1000)*0.902</f>
        <v>0</v>
      </c>
      <c r="E11" s="33">
        <f>$C$31*'E Balans VL '!I11/100/3.6*1000000</f>
        <v>0.24889221232926195</v>
      </c>
      <c r="F11" s="33">
        <f>$C$31*('E Balans VL '!L11+'E Balans VL '!N11)/100/3.6*1000000</f>
        <v>65.254156644025358</v>
      </c>
      <c r="G11" s="34"/>
      <c r="H11" s="33"/>
      <c r="I11" s="33"/>
      <c r="J11" s="33">
        <f>$C$31*('E Balans VL '!D11+'E Balans VL '!E11)/100/3.6*1000000</f>
        <v>0</v>
      </c>
      <c r="K11" s="33"/>
      <c r="L11" s="33"/>
      <c r="M11" s="33"/>
      <c r="N11" s="33">
        <f>$C$31*'E Balans VL '!Y11/100/3.6*1000000</f>
        <v>0.26329788140746646</v>
      </c>
      <c r="O11" s="33"/>
      <c r="P11" s="33"/>
      <c r="R11" s="32"/>
    </row>
    <row r="12" spans="1:18">
      <c r="A12" s="32" t="s">
        <v>260</v>
      </c>
      <c r="B12" s="37">
        <f t="shared" si="0"/>
        <v>0</v>
      </c>
      <c r="C12" s="33"/>
      <c r="D12" s="37">
        <f>IF(ISERROR(TER_rest_gas_kWh/1000),0,TER_rest_gas_kWh/1000)*0.902</f>
        <v>2226.1190904765999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1647</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-4705.7142857142862</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14855.608</v>
      </c>
      <c r="C16" s="21">
        <f t="shared" ca="1" si="1"/>
        <v>0</v>
      </c>
      <c r="D16" s="21">
        <f t="shared" ca="1" si="1"/>
        <v>18110.027938128784</v>
      </c>
      <c r="E16" s="21">
        <f t="shared" si="1"/>
        <v>195.88616579338256</v>
      </c>
      <c r="F16" s="21">
        <f t="shared" ca="1" si="1"/>
        <v>3309.4041009949788</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0.20380613591385371</v>
      </c>
      <c r="C18" s="25">
        <f ca="1">'EF ele_warmte'!B22</f>
        <v>0.20829737433012499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3027.6640631309324</v>
      </c>
      <c r="C20" s="23">
        <f t="shared" ref="C20:P20" ca="1" si="2">C16*C18</f>
        <v>0</v>
      </c>
      <c r="D20" s="23">
        <f t="shared" ca="1" si="2"/>
        <v>3658.2256435020145</v>
      </c>
      <c r="E20" s="23">
        <f t="shared" si="2"/>
        <v>44.466159635097846</v>
      </c>
      <c r="F20" s="23">
        <f t="shared" ca="1" si="2"/>
        <v>883.61089496565933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4268.8879999999999</v>
      </c>
      <c r="C26" s="39">
        <f>IF(ISERROR(B26*3.6/1000000/'E Balans VL '!Z12*100),0,B26*3.6/1000000/'E Balans VL '!Z12*100)</f>
        <v>9.1442897329949313E-2</v>
      </c>
      <c r="D26" s="237" t="s">
        <v>660</v>
      </c>
      <c r="F26" s="6"/>
    </row>
    <row r="27" spans="1:18">
      <c r="A27" s="231" t="s">
        <v>53</v>
      </c>
      <c r="B27" s="33">
        <f>IF(ISERROR(TER_horeca_ele_kWh/1000),0,TER_horeca_ele_kWh/1000)</f>
        <v>1411.7850000000001</v>
      </c>
      <c r="C27" s="39">
        <f>IF(ISERROR(B27*3.6/1000000/'E Balans VL '!Z9*100),0,B27*3.6/1000000/'E Balans VL '!Z9*100)</f>
        <v>0.11329083893542977</v>
      </c>
      <c r="D27" s="237" t="s">
        <v>660</v>
      </c>
      <c r="F27" s="6"/>
    </row>
    <row r="28" spans="1:18">
      <c r="A28" s="171" t="s">
        <v>52</v>
      </c>
      <c r="B28" s="33">
        <f>IF(ISERROR(TER_handel_ele_kWh/1000),0,TER_handel_ele_kWh/1000)</f>
        <v>2776.087</v>
      </c>
      <c r="C28" s="39">
        <f>IF(ISERROR(B28*3.6/1000000/'E Balans VL '!Z13*100),0,B28*3.6/1000000/'E Balans VL '!Z13*100)</f>
        <v>8.1878643500084877E-2</v>
      </c>
      <c r="D28" s="237" t="s">
        <v>660</v>
      </c>
      <c r="F28" s="6"/>
    </row>
    <row r="29" spans="1:18">
      <c r="A29" s="231" t="s">
        <v>51</v>
      </c>
      <c r="B29" s="33">
        <f>IF(ISERROR(TER_gezond_ele_kWh/1000),0,TER_gezond_ele_kWh/1000)</f>
        <v>1104.797</v>
      </c>
      <c r="C29" s="39">
        <f>IF(ISERROR(B29*3.6/1000000/'E Balans VL '!Z10*100),0,B29*3.6/1000000/'E Balans VL '!Z10*100)</f>
        <v>0.11796269888166222</v>
      </c>
      <c r="D29" s="237" t="s">
        <v>660</v>
      </c>
      <c r="F29" s="6"/>
    </row>
    <row r="30" spans="1:18">
      <c r="A30" s="231" t="s">
        <v>50</v>
      </c>
      <c r="B30" s="33">
        <f>IF(ISERROR(TER_ander_ele_kWh/1000),0,TER_ander_ele_kWh/1000)</f>
        <v>3505.7220000000002</v>
      </c>
      <c r="C30" s="39">
        <f>IF(ISERROR(B30*3.6/1000000/'E Balans VL '!Z14*100),0,B30*3.6/1000000/'E Balans VL '!Z14*100)</f>
        <v>0.26480094907500262</v>
      </c>
      <c r="D30" s="237" t="s">
        <v>660</v>
      </c>
      <c r="F30" s="6"/>
    </row>
    <row r="31" spans="1:18">
      <c r="A31" s="231" t="s">
        <v>55</v>
      </c>
      <c r="B31" s="33">
        <f>IF(ISERROR(TER_onderwijs_ele_kWh/1000),0,TER_onderwijs_ele_kWh/1000)</f>
        <v>141.32900000000001</v>
      </c>
      <c r="C31" s="39">
        <f>IF(ISERROR(B31*3.6/1000000/'E Balans VL '!Z11*100),0,B31*3.6/1000000/'E Balans VL '!Z11*100)</f>
        <v>2.8539043026499698E-2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2589.8139999999999</v>
      </c>
      <c r="C5" s="17">
        <f>IF(ISERROR('Eigen informatie GS &amp; warmtenet'!B59),0,'Eigen informatie GS &amp; warmtenet'!B59)</f>
        <v>0</v>
      </c>
      <c r="D5" s="30">
        <f>SUM(D6:D15)</f>
        <v>1532.8440475536761</v>
      </c>
      <c r="E5" s="17">
        <f>SUM(E6:E15)</f>
        <v>251.16939894761498</v>
      </c>
      <c r="F5" s="17">
        <f>SUM(F6:F15)</f>
        <v>1191.6661020657837</v>
      </c>
      <c r="G5" s="18"/>
      <c r="H5" s="17"/>
      <c r="I5" s="17"/>
      <c r="J5" s="17">
        <f>SUM(J6:J15)</f>
        <v>0.28235462041211257</v>
      </c>
      <c r="K5" s="17"/>
      <c r="L5" s="17"/>
      <c r="M5" s="17"/>
      <c r="N5" s="17">
        <f>SUM(N6:N15)</f>
        <v>743.25835524861395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533.98800000000006</v>
      </c>
      <c r="C8" s="33"/>
      <c r="D8" s="37">
        <f>IF( ISERROR(IND_metaal_Gas_kWH/1000),0,IND_metaal_Gas_kWH/1000)*0.902</f>
        <v>53.593056992155994</v>
      </c>
      <c r="E8" s="33">
        <f>C30*'E Balans VL '!I18/100/3.6*1000000</f>
        <v>19.214503663206322</v>
      </c>
      <c r="F8" s="33">
        <f>C30*'E Balans VL '!L18/100/3.6*1000000+C30*'E Balans VL '!N18/100/3.6*1000000</f>
        <v>233.17524957142376</v>
      </c>
      <c r="G8" s="34"/>
      <c r="H8" s="33"/>
      <c r="I8" s="33"/>
      <c r="J8" s="40">
        <f>C30*'E Balans VL '!D18/100/3.6*1000000+C30*'E Balans VL '!E18/100/3.6*1000000</f>
        <v>0</v>
      </c>
      <c r="K8" s="33"/>
      <c r="L8" s="33"/>
      <c r="M8" s="33"/>
      <c r="N8" s="33">
        <f>C30*'E Balans VL '!Y18/100/3.6*1000000</f>
        <v>26.763115676703027</v>
      </c>
      <c r="O8" s="33"/>
      <c r="P8" s="33"/>
      <c r="R8" s="32"/>
    </row>
    <row r="9" spans="1:18">
      <c r="A9" s="6" t="s">
        <v>33</v>
      </c>
      <c r="B9" s="37">
        <f t="shared" si="0"/>
        <v>777.73</v>
      </c>
      <c r="C9" s="33"/>
      <c r="D9" s="37">
        <f>IF( ISERROR(IND_andere_gas_kWh/1000),0,IND_andere_gas_kWh/1000)*0.902</f>
        <v>361.08465298862006</v>
      </c>
      <c r="E9" s="33">
        <f>C31*'E Balans VL '!I19/100/3.6*1000000</f>
        <v>198.45909936588654</v>
      </c>
      <c r="F9" s="33">
        <f>C31*'E Balans VL '!L19/100/3.6*1000000+C31*'E Balans VL '!N19/100/3.6*1000000</f>
        <v>669.56707354060802</v>
      </c>
      <c r="G9" s="34"/>
      <c r="H9" s="33"/>
      <c r="I9" s="33"/>
      <c r="J9" s="40">
        <f>C31*'E Balans VL '!D19/100/3.6*1000000+C31*'E Balans VL '!E19/100/3.6*1000000</f>
        <v>0</v>
      </c>
      <c r="K9" s="33"/>
      <c r="L9" s="33"/>
      <c r="M9" s="33"/>
      <c r="N9" s="33">
        <f>C31*'E Balans VL '!Y19/100/3.6*1000000</f>
        <v>243.22280547082838</v>
      </c>
      <c r="O9" s="33"/>
      <c r="P9" s="33"/>
      <c r="R9" s="32"/>
    </row>
    <row r="10" spans="1:18">
      <c r="A10" s="6" t="s">
        <v>41</v>
      </c>
      <c r="B10" s="37">
        <f t="shared" si="0"/>
        <v>1243.268</v>
      </c>
      <c r="C10" s="33"/>
      <c r="D10" s="37">
        <f>IF( ISERROR(IND_voed_gas_kWh/1000),0,IND_voed_gas_kWh/1000)*0.902</f>
        <v>544.74555473843998</v>
      </c>
      <c r="E10" s="33">
        <f>C32*'E Balans VL '!I20/100/3.6*1000000</f>
        <v>31.605579706861807</v>
      </c>
      <c r="F10" s="33">
        <f>C32*'E Balans VL '!L20/100/3.6*1000000+C32*'E Balans VL '!N20/100/3.6*1000000</f>
        <v>281.33288533781644</v>
      </c>
      <c r="G10" s="34"/>
      <c r="H10" s="33"/>
      <c r="I10" s="33"/>
      <c r="J10" s="40">
        <f>C32*'E Balans VL '!D20/100/3.6*1000000+C32*'E Balans VL '!E20/100/3.6*1000000</f>
        <v>0</v>
      </c>
      <c r="K10" s="33"/>
      <c r="L10" s="33"/>
      <c r="M10" s="33"/>
      <c r="N10" s="33">
        <f>C32*'E Balans VL '!Y20/100/3.6*1000000</f>
        <v>466.25920010468838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34.828000000000003</v>
      </c>
      <c r="C15" s="33"/>
      <c r="D15" s="37">
        <f>IF( ISERROR(IND_rest_gas_kWh/1000),0,IND_rest_gas_kWh/1000)*0.902</f>
        <v>573.42078283446006</v>
      </c>
      <c r="E15" s="33">
        <f>C37*'E Balans VL '!I15/100/3.6*1000000</f>
        <v>1.8902162116602785</v>
      </c>
      <c r="F15" s="33">
        <f>C37*'E Balans VL '!L15/100/3.6*1000000+C37*'E Balans VL '!N15/100/3.6*1000000</f>
        <v>7.5908936159355447</v>
      </c>
      <c r="G15" s="34"/>
      <c r="H15" s="33"/>
      <c r="I15" s="33"/>
      <c r="J15" s="40">
        <f>C37*'E Balans VL '!D15/100/3.6*1000000+C37*'E Balans VL '!E15/100/3.6*1000000</f>
        <v>0.28235462041211257</v>
      </c>
      <c r="K15" s="33"/>
      <c r="L15" s="33"/>
      <c r="M15" s="33"/>
      <c r="N15" s="33">
        <f>C37*'E Balans VL '!Y15/100/3.6*1000000</f>
        <v>7.0132339963940593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2589.8139999999999</v>
      </c>
      <c r="C18" s="21">
        <f>C5+C16</f>
        <v>0</v>
      </c>
      <c r="D18" s="21">
        <f>MAX((D5+D16),0)</f>
        <v>1532.8440475536761</v>
      </c>
      <c r="E18" s="21">
        <f>MAX((E5+E16),0)</f>
        <v>251.16939894761498</v>
      </c>
      <c r="F18" s="21">
        <f>MAX((F5+F16),0)</f>
        <v>1191.6661020657837</v>
      </c>
      <c r="G18" s="21"/>
      <c r="H18" s="21"/>
      <c r="I18" s="21"/>
      <c r="J18" s="21">
        <f>MAX((J5+J16),0)</f>
        <v>0.28235462041211257</v>
      </c>
      <c r="K18" s="21"/>
      <c r="L18" s="21">
        <f>MAX((L5+L16),0)</f>
        <v>0</v>
      </c>
      <c r="M18" s="21"/>
      <c r="N18" s="21">
        <f>MAX((N5+N16),0)</f>
        <v>743.25835524861395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0.20380613591385371</v>
      </c>
      <c r="C20" s="25">
        <f ca="1">'EF ele_warmte'!B22</f>
        <v>0.20829737433012499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527.81998407560116</v>
      </c>
      <c r="C22" s="23">
        <f ca="1">C18*C20</f>
        <v>0</v>
      </c>
      <c r="D22" s="23">
        <f>D18*D20</f>
        <v>309.63449760584257</v>
      </c>
      <c r="E22" s="23">
        <f>E18*E20</f>
        <v>57.0154535611086</v>
      </c>
      <c r="F22" s="23">
        <f>F18*F20</f>
        <v>318.17484925156424</v>
      </c>
      <c r="G22" s="23"/>
      <c r="H22" s="23"/>
      <c r="I22" s="23"/>
      <c r="J22" s="23">
        <f>J18*J20</f>
        <v>9.9953535625887838E-2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533.98800000000006</v>
      </c>
      <c r="C30" s="39">
        <f>IF(ISERROR(B30*3.6/1000000/'E Balans VL '!Z18*100),0,B30*3.6/1000000/'E Balans VL '!Z18*100)</f>
        <v>0.11314060879900882</v>
      </c>
      <c r="D30" s="237" t="s">
        <v>660</v>
      </c>
    </row>
    <row r="31" spans="1:18">
      <c r="A31" s="6" t="s">
        <v>33</v>
      </c>
      <c r="B31" s="37">
        <f>IF( ISERROR(IND_ander_ele_kWh/1000),0,IND_ander_ele_kWh/1000)</f>
        <v>777.73</v>
      </c>
      <c r="C31" s="39">
        <f>IF(ISERROR(B31*3.6/1000000/'E Balans VL '!Z19*100),0,B31*3.6/1000000/'E Balans VL '!Z19*100)</f>
        <v>3.2736421664396373E-2</v>
      </c>
      <c r="D31" s="237" t="s">
        <v>660</v>
      </c>
    </row>
    <row r="32" spans="1:18">
      <c r="A32" s="171" t="s">
        <v>41</v>
      </c>
      <c r="B32" s="37">
        <f>IF( ISERROR(IND_voed_ele_kWh/1000),0,IND_voed_ele_kWh/1000)</f>
        <v>1243.268</v>
      </c>
      <c r="C32" s="39">
        <f>IF(ISERROR(B32*3.6/1000000/'E Balans VL '!Z20*100),0,B32*3.6/1000000/'E Balans VL '!Z20*100)</f>
        <v>0.20770198600996537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34.828000000000003</v>
      </c>
      <c r="C37" s="39">
        <f>IF(ISERROR(B37*3.6/1000000/'E Balans VL '!Z15*100),0,B37*3.6/1000000/'E Balans VL '!Z15*100)</f>
        <v>2.8117993001971478E-4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12890.485000000001</v>
      </c>
      <c r="C5" s="17">
        <f>'Eigen informatie GS &amp; warmtenet'!B60</f>
        <v>0</v>
      </c>
      <c r="D5" s="30">
        <f>IF(ISERROR(SUM(LB_lb_gas_kWh,LB_rest_gas_kWh,onbekend_gas_kWh)/1000),0,SUM(LB_lb_gas_kWh,LB_rest_gas_kWh,onbekend_gas_kWh)/1000)*0.902</f>
        <v>457542.97198116913</v>
      </c>
      <c r="E5" s="17">
        <f>B17*'E Balans VL '!I25/3.6*1000000/100</f>
        <v>332.39611440980667</v>
      </c>
      <c r="F5" s="17">
        <f>B17*('E Balans VL '!L25/3.6*1000000+'E Balans VL '!N25/3.6*1000000)/100</f>
        <v>47117.177548617503</v>
      </c>
      <c r="G5" s="18"/>
      <c r="H5" s="17"/>
      <c r="I5" s="17"/>
      <c r="J5" s="17">
        <f>('E Balans VL '!D25+'E Balans VL '!E25)/3.6*1000000*landbouw!B17/100</f>
        <v>1855.7556421487864</v>
      </c>
      <c r="K5" s="17"/>
      <c r="L5" s="17">
        <f>L6*(-1)</f>
        <v>0</v>
      </c>
      <c r="M5" s="17"/>
      <c r="N5" s="17">
        <f>N6*(-1)</f>
        <v>85161.857142857159</v>
      </c>
      <c r="O5" s="17"/>
      <c r="P5" s="17"/>
      <c r="R5" s="32"/>
    </row>
    <row r="6" spans="1:18">
      <c r="A6" s="16" t="s">
        <v>491</v>
      </c>
      <c r="B6" s="17" t="s">
        <v>211</v>
      </c>
      <c r="C6" s="17">
        <f>'lokale energieproductie'!O91+'lokale energieproductie'!O60</f>
        <v>344781.6428571429</v>
      </c>
      <c r="D6" s="310">
        <f>('lokale energieproductie'!P60+'lokale energieproductie'!P91)*(-1)</f>
        <v>-604401.42857142864</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-85161.857142857159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12890.485000000001</v>
      </c>
      <c r="C8" s="21">
        <f>C5+C6</f>
        <v>344781.6428571429</v>
      </c>
      <c r="D8" s="21">
        <f>MAX((D5+D6),0)</f>
        <v>0</v>
      </c>
      <c r="E8" s="21">
        <f>MAX((E5+E6),0)</f>
        <v>332.39611440980667</v>
      </c>
      <c r="F8" s="21">
        <f>MAX((F5+F6),0)</f>
        <v>47117.177548617503</v>
      </c>
      <c r="G8" s="21"/>
      <c r="H8" s="21"/>
      <c r="I8" s="21"/>
      <c r="J8" s="21">
        <f>MAX((J5+J6),0)</f>
        <v>1855.7556421487864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0.20380613591385371</v>
      </c>
      <c r="C10" s="31">
        <f ca="1">'EF ele_warmte'!B22</f>
        <v>0.20829737433012499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2627.1599379054928</v>
      </c>
      <c r="C12" s="23">
        <f ca="1">C8*C10</f>
        <v>71817.110924369757</v>
      </c>
      <c r="D12" s="23">
        <f>D8*D10</f>
        <v>0</v>
      </c>
      <c r="E12" s="23">
        <f>E8*E10</f>
        <v>75.453917971026115</v>
      </c>
      <c r="F12" s="23">
        <f>F8*F10</f>
        <v>12580.286405480874</v>
      </c>
      <c r="G12" s="23"/>
      <c r="H12" s="23"/>
      <c r="I12" s="23"/>
      <c r="J12" s="23">
        <f>J8*J10</f>
        <v>656.93749732067033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1.8176437696580707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948.48940829418268</v>
      </c>
      <c r="C26" s="247">
        <f>B26*'GWP N2O_CH4'!B5</f>
        <v>19918.277574177835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534.21991774688479</v>
      </c>
      <c r="C27" s="247">
        <f>B27*'GWP N2O_CH4'!B5</f>
        <v>11218.61827268458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22.018055121377046</v>
      </c>
      <c r="C28" s="247">
        <f>B28*'GWP N2O_CH4'!B4</f>
        <v>6825.5970876268839</v>
      </c>
      <c r="D28" s="50"/>
    </row>
    <row r="29" spans="1:4">
      <c r="A29" s="41" t="s">
        <v>277</v>
      </c>
      <c r="B29" s="247">
        <f>B34*'ha_N2O bodem landbouw'!B4</f>
        <v>16.903171895591207</v>
      </c>
      <c r="C29" s="247">
        <f>B29*'GWP N2O_CH4'!B4</f>
        <v>5239.9832876332739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3.8041322215887491E-3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4.5190181163578238E-5</v>
      </c>
      <c r="C5" s="463" t="s">
        <v>211</v>
      </c>
      <c r="D5" s="448">
        <f>SUM(D6:D11)</f>
        <v>1.0042297408068479E-4</v>
      </c>
      <c r="E5" s="448">
        <f>SUM(E6:E11)</f>
        <v>3.8797516721526728E-4</v>
      </c>
      <c r="F5" s="461" t="s">
        <v>211</v>
      </c>
      <c r="G5" s="448">
        <f>SUM(G6:G11)</f>
        <v>0.12523729339393205</v>
      </c>
      <c r="H5" s="448">
        <f>SUM(H6:H11)</f>
        <v>2.6997945188816458E-2</v>
      </c>
      <c r="I5" s="463" t="s">
        <v>211</v>
      </c>
      <c r="J5" s="463" t="s">
        <v>211</v>
      </c>
      <c r="K5" s="463" t="s">
        <v>211</v>
      </c>
      <c r="L5" s="463" t="s">
        <v>211</v>
      </c>
      <c r="M5" s="448">
        <f>SUM(M6:M11)</f>
        <v>4.754577520692688E-3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3.8248673359068181E-5</v>
      </c>
      <c r="C6" s="449"/>
      <c r="D6" s="962">
        <f>vkm_2011_GW_PW*SUMIFS(TableVerdeelsleutelVkm[CNG],TableVerdeelsleutelVkm[Voertuigtype],"Lichte voertuigen")*SUMIFS(TableECFTransport[EnergieConsumptieFactor (PJ per km)],TableECFTransport[Index],CONCATENATE($A6,"_CNG_CNG"))</f>
        <v>7.6000783948673465E-5</v>
      </c>
      <c r="E6" s="962">
        <f>vkm_2011_GW_PW*SUMIFS(TableVerdeelsleutelVkm[LPG],TableVerdeelsleutelVkm[Voertuigtype],"Lichte voertuigen")*SUMIFS(TableECFTransport[EnergieConsumptieFactor (PJ per km)],TableECFTransport[Index],CONCATENATE($A6,"_LPG_LPG"))</f>
        <v>2.9909032907672584E-4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7.1113417866837572E-2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2.0575698647942786E-2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2.8571175375686712E-3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3.1817493365583399E-2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1.027840939383393E-5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1.0025205327644587E-3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6.9415078045100573E-6</v>
      </c>
      <c r="C8" s="449"/>
      <c r="D8" s="451">
        <f>vkm_2011_NGW_PW*SUMIFS(TableVerdeelsleutelVkm[CNG],TableVerdeelsleutelVkm[Voertuigtype],"Lichte voertuigen")*SUMIFS(TableECFTransport[EnergieConsumptieFactor (PJ per km)],TableECFTransport[Index],CONCATENATE($A8,"_CNG_CNG"))</f>
        <v>2.4422190132011319E-5</v>
      </c>
      <c r="E8" s="451">
        <f>vkm_2011_NGW_PW*SUMIFS(TableVerdeelsleutelVkm[LPG],TableVerdeelsleutelVkm[Voertuigtype],"Lichte voertuigen")*SUMIFS(TableECFTransport[EnergieConsumptieFactor (PJ per km)],TableECFTransport[Index],CONCATENATE($A8,"_LPG_LPG"))</f>
        <v>8.8884838138541465E-5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1.9734932710526273E-2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6.4111825318689695E-3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8.1391836501876745E-4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2.5714494509848163E-3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7.8559961086666358E-7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8.1021085340790338E-5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12.552828100993954</v>
      </c>
      <c r="C14" s="21"/>
      <c r="D14" s="21">
        <f t="shared" ref="D14:M14" si="0">((D5)*10^9/3600)+D12</f>
        <v>27.895270577967995</v>
      </c>
      <c r="E14" s="21">
        <f t="shared" si="0"/>
        <v>107.77087978201868</v>
      </c>
      <c r="F14" s="21"/>
      <c r="G14" s="21">
        <f t="shared" si="0"/>
        <v>34788.137053870014</v>
      </c>
      <c r="H14" s="21">
        <f t="shared" si="0"/>
        <v>7499.4292191156828</v>
      </c>
      <c r="I14" s="21"/>
      <c r="J14" s="21"/>
      <c r="K14" s="21"/>
      <c r="L14" s="21"/>
      <c r="M14" s="21">
        <f t="shared" si="0"/>
        <v>1320.7159779701913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0.20380613591385371</v>
      </c>
      <c r="C16" s="56">
        <f ca="1">'EF ele_warmte'!B22</f>
        <v>0.20829737433012499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2.5583433900544161</v>
      </c>
      <c r="C18" s="23"/>
      <c r="D18" s="23">
        <f t="shared" ref="D18:M18" si="1">D14*D16</f>
        <v>5.6348446567495358</v>
      </c>
      <c r="E18" s="23">
        <f t="shared" si="1"/>
        <v>24.463989710518241</v>
      </c>
      <c r="F18" s="23"/>
      <c r="G18" s="23">
        <f t="shared" si="1"/>
        <v>9288.4325933832934</v>
      </c>
      <c r="H18" s="23">
        <f t="shared" si="1"/>
        <v>1867.3578755598051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3.1113612544948375E-3</v>
      </c>
      <c r="H50" s="321">
        <f t="shared" si="2"/>
        <v>0</v>
      </c>
      <c r="I50" s="321">
        <f t="shared" si="2"/>
        <v>0</v>
      </c>
      <c r="J50" s="321">
        <f t="shared" si="2"/>
        <v>0</v>
      </c>
      <c r="K50" s="321">
        <f t="shared" si="2"/>
        <v>0</v>
      </c>
      <c r="L50" s="321">
        <f t="shared" si="2"/>
        <v>0</v>
      </c>
      <c r="M50" s="321">
        <f t="shared" si="2"/>
        <v>9.6507465432761603E-5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3.1113612544948375E-3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9.6507465432761603E-5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864.26701513745491</v>
      </c>
      <c r="H54" s="21">
        <f t="shared" si="3"/>
        <v>0</v>
      </c>
      <c r="I54" s="21">
        <f t="shared" si="3"/>
        <v>0</v>
      </c>
      <c r="J54" s="21">
        <f t="shared" si="3"/>
        <v>0</v>
      </c>
      <c r="K54" s="21">
        <f t="shared" si="3"/>
        <v>0</v>
      </c>
      <c r="L54" s="21">
        <f t="shared" si="3"/>
        <v>0</v>
      </c>
      <c r="M54" s="21">
        <f t="shared" si="3"/>
        <v>26.807629286878221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0.20380613591385371</v>
      </c>
      <c r="C56" s="56">
        <f ca="1">'EF ele_warmte'!B22</f>
        <v>0.20829737433012499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230.75929304170046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3671.5228544628608</v>
      </c>
      <c r="C6" s="1203"/>
      <c r="D6" s="1188"/>
      <c r="E6" s="1188"/>
      <c r="F6" s="1206"/>
      <c r="G6" s="1209"/>
      <c r="H6" s="1200"/>
      <c r="I6" s="1188"/>
      <c r="J6" s="1188"/>
      <c r="K6" s="1188"/>
      <c r="L6" s="1192"/>
      <c r="M6" s="575"/>
      <c r="N6" s="1166"/>
      <c r="O6" s="1167"/>
      <c r="Q6" s="573"/>
      <c r="R6" s="1154"/>
      <c r="S6" s="1154"/>
    </row>
    <row r="7" spans="1:19" s="563" customFormat="1">
      <c r="A7" s="576" t="s">
        <v>252</v>
      </c>
      <c r="B7" s="577">
        <f>N57</f>
        <v>241347.15</v>
      </c>
      <c r="C7" s="578">
        <f>B100</f>
        <v>248871.17647058825</v>
      </c>
      <c r="D7" s="579"/>
      <c r="E7" s="579">
        <f>E100</f>
        <v>0</v>
      </c>
      <c r="F7" s="580"/>
      <c r="G7" s="581"/>
      <c r="H7" s="579">
        <f>I100</f>
        <v>0</v>
      </c>
      <c r="I7" s="579">
        <f>G100+F100</f>
        <v>0</v>
      </c>
      <c r="J7" s="579">
        <f>H100+D100+C100</f>
        <v>35066.647058823532</v>
      </c>
      <c r="K7" s="579"/>
      <c r="L7" s="582"/>
      <c r="M7" s="583">
        <f>C7*$C$11+D7*$D$11+E7*$E$11+F7*$F$11+G7*$G$11+H7*$H$11+I7*$I$11+J7*$J$11</f>
        <v>50271.977647058833</v>
      </c>
      <c r="N7" s="1166"/>
      <c r="O7" s="1167"/>
      <c r="Q7" s="573"/>
      <c r="R7" s="1154"/>
      <c r="S7" s="1154"/>
    </row>
    <row r="8" spans="1:19" s="563" customFormat="1" ht="17.45" customHeight="1" thickBot="1">
      <c r="A8" s="584" t="s">
        <v>248</v>
      </c>
      <c r="B8" s="585">
        <f>N88+'Eigen informatie GS &amp; warmtenet'!B12</f>
        <v>1647</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246665.67285446284</v>
      </c>
      <c r="C9" s="594">
        <f t="shared" ref="C9:L9" si="0">SUM(C7:C8)</f>
        <v>248871.17647058825</v>
      </c>
      <c r="D9" s="594">
        <f t="shared" si="0"/>
        <v>0</v>
      </c>
      <c r="E9" s="594">
        <f t="shared" si="0"/>
        <v>0</v>
      </c>
      <c r="F9" s="594">
        <f t="shared" si="0"/>
        <v>0</v>
      </c>
      <c r="G9" s="594">
        <f t="shared" si="0"/>
        <v>0</v>
      </c>
      <c r="H9" s="594">
        <f t="shared" si="0"/>
        <v>0</v>
      </c>
      <c r="I9" s="594">
        <f t="shared" si="0"/>
        <v>0</v>
      </c>
      <c r="J9" s="594">
        <f t="shared" si="0"/>
        <v>39772.361344537814</v>
      </c>
      <c r="K9" s="594">
        <f t="shared" si="0"/>
        <v>0</v>
      </c>
      <c r="L9" s="594">
        <f t="shared" si="0"/>
        <v>0</v>
      </c>
      <c r="M9" s="595">
        <f>SUM(M4:M8)</f>
        <v>50271.977647058833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344781.6428571429</v>
      </c>
      <c r="C16" s="610">
        <f>B101</f>
        <v>355530.25210084039</v>
      </c>
      <c r="D16" s="611"/>
      <c r="E16" s="611">
        <f>E101</f>
        <v>0</v>
      </c>
      <c r="F16" s="612"/>
      <c r="G16" s="613"/>
      <c r="H16" s="610">
        <f>I101</f>
        <v>0</v>
      </c>
      <c r="I16" s="611">
        <f>G101+F101</f>
        <v>0</v>
      </c>
      <c r="J16" s="611">
        <f>H101+D101+C101</f>
        <v>50095.210084033628</v>
      </c>
      <c r="K16" s="611"/>
      <c r="L16" s="614"/>
      <c r="M16" s="615">
        <f>C16*$C$21+E16*$E$21+H16*$H$21+I16*$I$21+J16*$J$21+D16*$D$21+F16*$F$21+G16*$G$21+K16*$K$21+L16*$L$21</f>
        <v>71817.110924369757</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344781.6428571429</v>
      </c>
      <c r="C19" s="593">
        <f>SUM(C16:C18)</f>
        <v>355530.25210084039</v>
      </c>
      <c r="D19" s="593">
        <f t="shared" ref="D19:M19" si="1">SUM(D16:D18)</f>
        <v>0</v>
      </c>
      <c r="E19" s="593">
        <f t="shared" si="1"/>
        <v>0</v>
      </c>
      <c r="F19" s="593">
        <f t="shared" si="1"/>
        <v>0</v>
      </c>
      <c r="G19" s="593">
        <f t="shared" si="1"/>
        <v>0</v>
      </c>
      <c r="H19" s="593">
        <f t="shared" si="1"/>
        <v>0</v>
      </c>
      <c r="I19" s="593">
        <f t="shared" si="1"/>
        <v>0</v>
      </c>
      <c r="J19" s="593">
        <f t="shared" si="1"/>
        <v>50095.210084033628</v>
      </c>
      <c r="K19" s="593">
        <f t="shared" si="1"/>
        <v>0</v>
      </c>
      <c r="L19" s="593">
        <f t="shared" si="1"/>
        <v>0</v>
      </c>
      <c r="M19" s="620">
        <f t="shared" si="1"/>
        <v>71817.110924369757</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13023</v>
      </c>
      <c r="C27" s="851">
        <v>2330</v>
      </c>
      <c r="D27" s="672" t="s">
        <v>818</v>
      </c>
      <c r="E27" s="671" t="s">
        <v>819</v>
      </c>
      <c r="F27" s="671" t="s">
        <v>820</v>
      </c>
      <c r="G27" s="671" t="s">
        <v>821</v>
      </c>
      <c r="H27" s="671" t="s">
        <v>822</v>
      </c>
      <c r="I27" s="671" t="s">
        <v>819</v>
      </c>
      <c r="J27" s="850">
        <v>39217</v>
      </c>
      <c r="K27" s="850">
        <v>38473</v>
      </c>
      <c r="L27" s="671" t="s">
        <v>823</v>
      </c>
      <c r="M27" s="671">
        <v>2758</v>
      </c>
      <c r="N27" s="671">
        <v>12411</v>
      </c>
      <c r="O27" s="671">
        <v>17730</v>
      </c>
      <c r="P27" s="671">
        <v>35460</v>
      </c>
      <c r="Q27" s="671">
        <v>0</v>
      </c>
      <c r="R27" s="671">
        <v>0</v>
      </c>
      <c r="S27" s="671">
        <v>0</v>
      </c>
      <c r="T27" s="671">
        <v>0</v>
      </c>
      <c r="U27" s="671">
        <v>0</v>
      </c>
      <c r="V27" s="671">
        <v>0</v>
      </c>
      <c r="W27" s="671">
        <v>0</v>
      </c>
      <c r="X27" s="671">
        <v>10</v>
      </c>
      <c r="Y27" s="671" t="s">
        <v>112</v>
      </c>
      <c r="Z27" s="673" t="s">
        <v>112</v>
      </c>
    </row>
    <row r="28" spans="1:26" s="625" customFormat="1" ht="38.25">
      <c r="A28" s="624"/>
      <c r="B28" s="851">
        <v>13023</v>
      </c>
      <c r="C28" s="851">
        <v>2330</v>
      </c>
      <c r="D28" s="672" t="s">
        <v>824</v>
      </c>
      <c r="E28" s="671" t="s">
        <v>825</v>
      </c>
      <c r="F28" s="671" t="s">
        <v>826</v>
      </c>
      <c r="G28" s="671" t="s">
        <v>821</v>
      </c>
      <c r="H28" s="671" t="s">
        <v>822</v>
      </c>
      <c r="I28" s="671" t="s">
        <v>825</v>
      </c>
      <c r="J28" s="850">
        <v>39203</v>
      </c>
      <c r="K28" s="850">
        <v>38808</v>
      </c>
      <c r="L28" s="671" t="s">
        <v>823</v>
      </c>
      <c r="M28" s="671">
        <v>7083</v>
      </c>
      <c r="N28" s="671">
        <v>31873.5</v>
      </c>
      <c r="O28" s="671">
        <v>45533.571428571428</v>
      </c>
      <c r="P28" s="671">
        <v>91067.14285714287</v>
      </c>
      <c r="Q28" s="671">
        <v>0</v>
      </c>
      <c r="R28" s="671">
        <v>0</v>
      </c>
      <c r="S28" s="671">
        <v>0</v>
      </c>
      <c r="T28" s="671">
        <v>0</v>
      </c>
      <c r="U28" s="671">
        <v>0</v>
      </c>
      <c r="V28" s="671">
        <v>0</v>
      </c>
      <c r="W28" s="671">
        <v>0</v>
      </c>
      <c r="X28" s="671">
        <v>10</v>
      </c>
      <c r="Y28" s="671" t="s">
        <v>112</v>
      </c>
      <c r="Z28" s="673" t="s">
        <v>112</v>
      </c>
    </row>
    <row r="29" spans="1:26" s="625" customFormat="1" ht="25.5">
      <c r="A29" s="624"/>
      <c r="B29" s="851">
        <v>13023</v>
      </c>
      <c r="C29" s="851">
        <v>2330</v>
      </c>
      <c r="D29" s="672" t="s">
        <v>827</v>
      </c>
      <c r="E29" s="671" t="s">
        <v>828</v>
      </c>
      <c r="F29" s="671" t="s">
        <v>829</v>
      </c>
      <c r="G29" s="671" t="s">
        <v>821</v>
      </c>
      <c r="H29" s="671" t="s">
        <v>822</v>
      </c>
      <c r="I29" s="671" t="s">
        <v>830</v>
      </c>
      <c r="J29" s="850">
        <v>41264</v>
      </c>
      <c r="K29" s="850">
        <v>39071</v>
      </c>
      <c r="L29" s="671" t="s">
        <v>823</v>
      </c>
      <c r="M29" s="671">
        <v>2800</v>
      </c>
      <c r="N29" s="671">
        <v>12600</v>
      </c>
      <c r="O29" s="671">
        <v>18000</v>
      </c>
      <c r="P29" s="671">
        <v>36000</v>
      </c>
      <c r="Q29" s="671">
        <v>0</v>
      </c>
      <c r="R29" s="671">
        <v>0</v>
      </c>
      <c r="S29" s="671">
        <v>0</v>
      </c>
      <c r="T29" s="671">
        <v>0</v>
      </c>
      <c r="U29" s="671">
        <v>0</v>
      </c>
      <c r="V29" s="671">
        <v>0</v>
      </c>
      <c r="W29" s="671">
        <v>0</v>
      </c>
      <c r="X29" s="671">
        <v>10</v>
      </c>
      <c r="Y29" s="671" t="s">
        <v>112</v>
      </c>
      <c r="Z29" s="673" t="s">
        <v>112</v>
      </c>
    </row>
    <row r="30" spans="1:26" s="625" customFormat="1" ht="38.25">
      <c r="A30" s="624"/>
      <c r="B30" s="851">
        <v>13023</v>
      </c>
      <c r="C30" s="851">
        <v>2330</v>
      </c>
      <c r="D30" s="672" t="s">
        <v>831</v>
      </c>
      <c r="E30" s="671" t="s">
        <v>832</v>
      </c>
      <c r="F30" s="671" t="s">
        <v>833</v>
      </c>
      <c r="G30" s="671" t="s">
        <v>821</v>
      </c>
      <c r="H30" s="671" t="s">
        <v>822</v>
      </c>
      <c r="I30" s="671" t="s">
        <v>832</v>
      </c>
      <c r="J30" s="850">
        <v>39233</v>
      </c>
      <c r="K30" s="850">
        <v>39233</v>
      </c>
      <c r="L30" s="671" t="s">
        <v>823</v>
      </c>
      <c r="M30" s="671">
        <v>3256</v>
      </c>
      <c r="N30" s="671">
        <v>14651.999999999998</v>
      </c>
      <c r="O30" s="671">
        <v>20931.428571428569</v>
      </c>
      <c r="P30" s="671">
        <v>41862.857142857138</v>
      </c>
      <c r="Q30" s="671">
        <v>0</v>
      </c>
      <c r="R30" s="671">
        <v>0</v>
      </c>
      <c r="S30" s="671">
        <v>0</v>
      </c>
      <c r="T30" s="671">
        <v>0</v>
      </c>
      <c r="U30" s="671">
        <v>0</v>
      </c>
      <c r="V30" s="671">
        <v>0</v>
      </c>
      <c r="W30" s="671">
        <v>0</v>
      </c>
      <c r="X30" s="671">
        <v>10</v>
      </c>
      <c r="Y30" s="671" t="s">
        <v>112</v>
      </c>
      <c r="Z30" s="673" t="s">
        <v>112</v>
      </c>
    </row>
    <row r="31" spans="1:26" s="625" customFormat="1" ht="25.5">
      <c r="A31" s="624"/>
      <c r="B31" s="851">
        <v>13023</v>
      </c>
      <c r="C31" s="851">
        <v>2330</v>
      </c>
      <c r="D31" s="672" t="s">
        <v>834</v>
      </c>
      <c r="E31" s="671" t="s">
        <v>835</v>
      </c>
      <c r="F31" s="671" t="s">
        <v>836</v>
      </c>
      <c r="G31" s="671" t="s">
        <v>821</v>
      </c>
      <c r="H31" s="671" t="s">
        <v>822</v>
      </c>
      <c r="I31" s="671" t="s">
        <v>835</v>
      </c>
      <c r="J31" s="850">
        <v>40009</v>
      </c>
      <c r="K31" s="850">
        <v>39504</v>
      </c>
      <c r="L31" s="671" t="s">
        <v>823</v>
      </c>
      <c r="M31" s="671">
        <v>3183</v>
      </c>
      <c r="N31" s="671">
        <v>14323.5</v>
      </c>
      <c r="O31" s="671">
        <v>20462.142857142859</v>
      </c>
      <c r="P31" s="671">
        <v>40924.285714285717</v>
      </c>
      <c r="Q31" s="671">
        <v>0</v>
      </c>
      <c r="R31" s="671">
        <v>0</v>
      </c>
      <c r="S31" s="671">
        <v>0</v>
      </c>
      <c r="T31" s="671">
        <v>0</v>
      </c>
      <c r="U31" s="671">
        <v>0</v>
      </c>
      <c r="V31" s="671">
        <v>0</v>
      </c>
      <c r="W31" s="671">
        <v>0</v>
      </c>
      <c r="X31" s="671">
        <v>10</v>
      </c>
      <c r="Y31" s="671" t="s">
        <v>112</v>
      </c>
      <c r="Z31" s="673" t="s">
        <v>112</v>
      </c>
    </row>
    <row r="32" spans="1:26" s="625" customFormat="1" ht="25.5">
      <c r="A32" s="624"/>
      <c r="B32" s="851">
        <v>13023</v>
      </c>
      <c r="C32" s="851">
        <v>2330</v>
      </c>
      <c r="D32" s="672" t="s">
        <v>837</v>
      </c>
      <c r="E32" s="671" t="s">
        <v>838</v>
      </c>
      <c r="F32" s="671" t="s">
        <v>839</v>
      </c>
      <c r="G32" s="671" t="s">
        <v>821</v>
      </c>
      <c r="H32" s="671" t="s">
        <v>822</v>
      </c>
      <c r="I32" s="671" t="s">
        <v>838</v>
      </c>
      <c r="J32" s="850">
        <v>41291</v>
      </c>
      <c r="K32" s="850">
        <v>39625</v>
      </c>
      <c r="L32" s="671" t="s">
        <v>823</v>
      </c>
      <c r="M32" s="671">
        <v>3574</v>
      </c>
      <c r="N32" s="671">
        <v>16083</v>
      </c>
      <c r="O32" s="671">
        <v>22975.714285714286</v>
      </c>
      <c r="P32" s="671">
        <v>45951.428571428572</v>
      </c>
      <c r="Q32" s="671">
        <v>0</v>
      </c>
      <c r="R32" s="671">
        <v>0</v>
      </c>
      <c r="S32" s="671">
        <v>0</v>
      </c>
      <c r="T32" s="671">
        <v>0</v>
      </c>
      <c r="U32" s="671">
        <v>0</v>
      </c>
      <c r="V32" s="671">
        <v>0</v>
      </c>
      <c r="W32" s="671">
        <v>0</v>
      </c>
      <c r="X32" s="671">
        <v>10</v>
      </c>
      <c r="Y32" s="671" t="s">
        <v>112</v>
      </c>
      <c r="Z32" s="673" t="s">
        <v>112</v>
      </c>
    </row>
    <row r="33" spans="1:26" s="625" customFormat="1" ht="25.5">
      <c r="A33" s="624"/>
      <c r="B33" s="851">
        <v>13023</v>
      </c>
      <c r="C33" s="851">
        <v>2330</v>
      </c>
      <c r="D33" s="672" t="s">
        <v>840</v>
      </c>
      <c r="E33" s="671" t="s">
        <v>841</v>
      </c>
      <c r="F33" s="671" t="s">
        <v>842</v>
      </c>
      <c r="G33" s="671" t="s">
        <v>821</v>
      </c>
      <c r="H33" s="671" t="s">
        <v>822</v>
      </c>
      <c r="I33" s="671" t="s">
        <v>841</v>
      </c>
      <c r="J33" s="850">
        <v>40267</v>
      </c>
      <c r="K33" s="850">
        <v>40267</v>
      </c>
      <c r="L33" s="671" t="s">
        <v>823</v>
      </c>
      <c r="M33" s="671">
        <v>12421</v>
      </c>
      <c r="N33" s="671">
        <v>55894.5</v>
      </c>
      <c r="O33" s="671">
        <v>79849.28571428571</v>
      </c>
      <c r="P33" s="671">
        <v>159698.57142857145</v>
      </c>
      <c r="Q33" s="671">
        <v>0</v>
      </c>
      <c r="R33" s="671">
        <v>0</v>
      </c>
      <c r="S33" s="671">
        <v>0</v>
      </c>
      <c r="T33" s="671">
        <v>0</v>
      </c>
      <c r="U33" s="671">
        <v>0</v>
      </c>
      <c r="V33" s="671">
        <v>0</v>
      </c>
      <c r="W33" s="671">
        <v>0</v>
      </c>
      <c r="X33" s="671">
        <v>10</v>
      </c>
      <c r="Y33" s="671" t="s">
        <v>112</v>
      </c>
      <c r="Z33" s="673" t="s">
        <v>112</v>
      </c>
    </row>
    <row r="34" spans="1:26" s="625" customFormat="1" ht="25.5">
      <c r="A34" s="624"/>
      <c r="B34" s="851">
        <v>13023</v>
      </c>
      <c r="C34" s="851">
        <v>2330</v>
      </c>
      <c r="D34" s="672" t="s">
        <v>843</v>
      </c>
      <c r="E34" s="671" t="s">
        <v>844</v>
      </c>
      <c r="F34" s="671" t="s">
        <v>845</v>
      </c>
      <c r="G34" s="671" t="s">
        <v>821</v>
      </c>
      <c r="H34" s="671" t="s">
        <v>822</v>
      </c>
      <c r="I34" s="671" t="s">
        <v>844</v>
      </c>
      <c r="J34" s="850">
        <v>40364</v>
      </c>
      <c r="K34" s="850">
        <v>40364</v>
      </c>
      <c r="L34" s="671" t="s">
        <v>823</v>
      </c>
      <c r="M34" s="671">
        <v>8585</v>
      </c>
      <c r="N34" s="671">
        <v>38632.500000000007</v>
      </c>
      <c r="O34" s="671">
        <v>55189.285714285725</v>
      </c>
      <c r="P34" s="671">
        <v>110378.57142857145</v>
      </c>
      <c r="Q34" s="671">
        <v>0</v>
      </c>
      <c r="R34" s="671">
        <v>0</v>
      </c>
      <c r="S34" s="671">
        <v>0</v>
      </c>
      <c r="T34" s="671">
        <v>0</v>
      </c>
      <c r="U34" s="671">
        <v>0</v>
      </c>
      <c r="V34" s="671">
        <v>0</v>
      </c>
      <c r="W34" s="671">
        <v>0</v>
      </c>
      <c r="X34" s="671">
        <v>10</v>
      </c>
      <c r="Y34" s="671" t="s">
        <v>112</v>
      </c>
      <c r="Z34" s="673" t="s">
        <v>112</v>
      </c>
    </row>
    <row r="35" spans="1:26" s="625" customFormat="1" ht="25.5">
      <c r="A35" s="624"/>
      <c r="B35" s="851">
        <v>13023</v>
      </c>
      <c r="C35" s="851">
        <v>2330</v>
      </c>
      <c r="D35" s="672" t="s">
        <v>846</v>
      </c>
      <c r="E35" s="671" t="s">
        <v>847</v>
      </c>
      <c r="F35" s="671" t="s">
        <v>848</v>
      </c>
      <c r="G35" s="671" t="s">
        <v>821</v>
      </c>
      <c r="H35" s="671" t="s">
        <v>822</v>
      </c>
      <c r="I35" s="671" t="s">
        <v>849</v>
      </c>
      <c r="J35" s="850">
        <v>40987</v>
      </c>
      <c r="K35" s="850">
        <v>40987</v>
      </c>
      <c r="L35" s="671" t="s">
        <v>823</v>
      </c>
      <c r="M35" s="671">
        <v>6614</v>
      </c>
      <c r="N35" s="671">
        <v>29763</v>
      </c>
      <c r="O35" s="671">
        <v>42518.571428571428</v>
      </c>
      <c r="P35" s="671">
        <v>0</v>
      </c>
      <c r="Q35" s="671">
        <v>85037.14285714287</v>
      </c>
      <c r="R35" s="671">
        <v>0</v>
      </c>
      <c r="S35" s="671">
        <v>0</v>
      </c>
      <c r="T35" s="671">
        <v>0</v>
      </c>
      <c r="U35" s="671">
        <v>0</v>
      </c>
      <c r="V35" s="671">
        <v>0</v>
      </c>
      <c r="W35" s="671">
        <v>0</v>
      </c>
      <c r="X35" s="671">
        <v>10</v>
      </c>
      <c r="Y35" s="671" t="s">
        <v>112</v>
      </c>
      <c r="Z35" s="673" t="s">
        <v>112</v>
      </c>
    </row>
    <row r="36" spans="1:26" s="625" customFormat="1" ht="25.5">
      <c r="A36" s="624"/>
      <c r="B36" s="851">
        <v>13023</v>
      </c>
      <c r="C36" s="851">
        <v>2330</v>
      </c>
      <c r="D36" s="672" t="s">
        <v>850</v>
      </c>
      <c r="E36" s="671" t="s">
        <v>851</v>
      </c>
      <c r="F36" s="671" t="s">
        <v>852</v>
      </c>
      <c r="G36" s="671" t="s">
        <v>821</v>
      </c>
      <c r="H36" s="671" t="s">
        <v>822</v>
      </c>
      <c r="I36" s="671" t="s">
        <v>851</v>
      </c>
      <c r="J36" s="850">
        <v>41333</v>
      </c>
      <c r="K36" s="850">
        <v>41333</v>
      </c>
      <c r="L36" s="671" t="s">
        <v>823</v>
      </c>
      <c r="M36" s="671">
        <v>3349</v>
      </c>
      <c r="N36" s="671">
        <v>15070.5</v>
      </c>
      <c r="O36" s="671">
        <v>21529.285714285714</v>
      </c>
      <c r="P36" s="671">
        <v>43058.571428571435</v>
      </c>
      <c r="Q36" s="671">
        <v>0</v>
      </c>
      <c r="R36" s="671">
        <v>0</v>
      </c>
      <c r="S36" s="671">
        <v>0</v>
      </c>
      <c r="T36" s="671">
        <v>0</v>
      </c>
      <c r="U36" s="671">
        <v>0</v>
      </c>
      <c r="V36" s="671">
        <v>0</v>
      </c>
      <c r="W36" s="671">
        <v>0</v>
      </c>
      <c r="X36" s="671">
        <v>10</v>
      </c>
      <c r="Y36" s="671" t="s">
        <v>112</v>
      </c>
      <c r="Z36" s="673" t="s">
        <v>112</v>
      </c>
    </row>
    <row r="37" spans="1:26" s="625" customFormat="1" ht="25.5">
      <c r="A37" s="624"/>
      <c r="B37" s="851">
        <v>13023</v>
      </c>
      <c r="C37" s="851">
        <v>2330</v>
      </c>
      <c r="D37" s="672" t="s">
        <v>853</v>
      </c>
      <c r="E37" s="671" t="s">
        <v>854</v>
      </c>
      <c r="F37" s="671" t="s">
        <v>855</v>
      </c>
      <c r="G37" s="671" t="s">
        <v>821</v>
      </c>
      <c r="H37" s="671" t="s">
        <v>822</v>
      </c>
      <c r="I37" s="671" t="s">
        <v>854</v>
      </c>
      <c r="J37" s="850">
        <v>41627</v>
      </c>
      <c r="K37" s="850">
        <v>41627</v>
      </c>
      <c r="L37" s="671" t="s">
        <v>823</v>
      </c>
      <c r="M37" s="671">
        <v>9.6999999999999993</v>
      </c>
      <c r="N37" s="671">
        <v>43.649999999999991</v>
      </c>
      <c r="O37" s="671">
        <v>62.357142857142847</v>
      </c>
      <c r="P37" s="671">
        <v>0</v>
      </c>
      <c r="Q37" s="671">
        <v>124.71428571428569</v>
      </c>
      <c r="R37" s="671">
        <v>0</v>
      </c>
      <c r="S37" s="671">
        <v>0</v>
      </c>
      <c r="T37" s="671">
        <v>0</v>
      </c>
      <c r="U37" s="671">
        <v>0</v>
      </c>
      <c r="V37" s="671">
        <v>0</v>
      </c>
      <c r="W37" s="671">
        <v>0</v>
      </c>
      <c r="X37" s="671">
        <v>10</v>
      </c>
      <c r="Y37" s="671" t="s">
        <v>112</v>
      </c>
      <c r="Z37" s="673" t="s">
        <v>112</v>
      </c>
    </row>
    <row r="38" spans="1:26" s="625" customFormat="1" ht="38.25">
      <c r="A38" s="624"/>
      <c r="B38" s="851">
        <v>13023</v>
      </c>
      <c r="C38" s="851">
        <v>2330</v>
      </c>
      <c r="D38" s="672"/>
      <c r="E38" s="671"/>
      <c r="F38" s="671" t="s">
        <v>856</v>
      </c>
      <c r="G38" s="671" t="s">
        <v>821</v>
      </c>
      <c r="H38" s="671" t="s">
        <v>822</v>
      </c>
      <c r="I38" s="671" t="s">
        <v>857</v>
      </c>
      <c r="J38" s="850">
        <v>42353</v>
      </c>
      <c r="K38" s="850">
        <v>42355</v>
      </c>
      <c r="L38" s="671" t="s">
        <v>823</v>
      </c>
      <c r="M38" s="671">
        <v>2678</v>
      </c>
      <c r="N38" s="671">
        <v>0</v>
      </c>
      <c r="O38" s="671">
        <v>0</v>
      </c>
      <c r="P38" s="671">
        <v>0</v>
      </c>
      <c r="Q38" s="671">
        <v>0</v>
      </c>
      <c r="R38" s="671">
        <v>0</v>
      </c>
      <c r="S38" s="671">
        <v>0</v>
      </c>
      <c r="T38" s="671">
        <v>0</v>
      </c>
      <c r="U38" s="671">
        <v>0</v>
      </c>
      <c r="V38" s="671">
        <v>0</v>
      </c>
      <c r="W38" s="671">
        <v>0</v>
      </c>
      <c r="X38" s="671">
        <v>10</v>
      </c>
      <c r="Y38" s="671" t="s">
        <v>112</v>
      </c>
      <c r="Z38" s="673" t="s">
        <v>112</v>
      </c>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56310.7</v>
      </c>
      <c r="N57" s="629">
        <f>SUM(N27:N56)</f>
        <v>241347.15</v>
      </c>
      <c r="O57" s="629">
        <f t="shared" ref="O57:W57" si="2">SUM(O27:O56)</f>
        <v>344781.6428571429</v>
      </c>
      <c r="P57" s="629">
        <f t="shared" si="2"/>
        <v>604401.42857142864</v>
      </c>
      <c r="Q57" s="629">
        <f t="shared" si="2"/>
        <v>85161.857142857159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56310.7</v>
      </c>
      <c r="N60" s="634">
        <f t="shared" ref="N60:W60" si="4">SUMIF($Z$27:$Z$56,"landbouw",N27:N56)</f>
        <v>241347.15</v>
      </c>
      <c r="O60" s="634">
        <f t="shared" si="4"/>
        <v>344781.6428571429</v>
      </c>
      <c r="P60" s="634">
        <f t="shared" si="4"/>
        <v>604401.42857142864</v>
      </c>
      <c r="Q60" s="634">
        <f t="shared" si="4"/>
        <v>85161.857142857159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13023</v>
      </c>
      <c r="C63" s="851">
        <v>2330</v>
      </c>
      <c r="D63" s="674" t="s">
        <v>858</v>
      </c>
      <c r="E63" s="674" t="s">
        <v>859</v>
      </c>
      <c r="F63" s="674" t="s">
        <v>860</v>
      </c>
      <c r="G63" s="674" t="s">
        <v>861</v>
      </c>
      <c r="H63" s="674" t="s">
        <v>862</v>
      </c>
      <c r="I63" s="674" t="s">
        <v>863</v>
      </c>
      <c r="J63" s="850">
        <v>37656</v>
      </c>
      <c r="K63" s="850">
        <v>37653</v>
      </c>
      <c r="L63" s="674" t="s">
        <v>823</v>
      </c>
      <c r="M63" s="674">
        <v>366</v>
      </c>
      <c r="N63" s="674">
        <v>1647</v>
      </c>
      <c r="O63" s="674">
        <v>0</v>
      </c>
      <c r="P63" s="674">
        <v>0</v>
      </c>
      <c r="Q63" s="674">
        <v>0</v>
      </c>
      <c r="R63" s="674">
        <v>4705.7142857142862</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366</v>
      </c>
      <c r="N88" s="629">
        <f t="shared" ref="N88:W88" si="5">SUM(N63:N87)</f>
        <v>1647</v>
      </c>
      <c r="O88" s="629">
        <f t="shared" si="5"/>
        <v>0</v>
      </c>
      <c r="P88" s="629">
        <f t="shared" si="5"/>
        <v>0</v>
      </c>
      <c r="Q88" s="629">
        <f t="shared" si="5"/>
        <v>0</v>
      </c>
      <c r="R88" s="629">
        <f t="shared" si="5"/>
        <v>4705.7142857142862</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366</v>
      </c>
      <c r="N90" s="629">
        <f t="shared" ref="N90:W90" si="7">SUMIF($Z$63:$Z$88,"tertiair",N63:N88)</f>
        <v>1647</v>
      </c>
      <c r="O90" s="629">
        <f t="shared" si="7"/>
        <v>0</v>
      </c>
      <c r="P90" s="629">
        <f t="shared" si="7"/>
        <v>0</v>
      </c>
      <c r="Q90" s="629">
        <f t="shared" si="7"/>
        <v>0</v>
      </c>
      <c r="R90" s="629">
        <f t="shared" si="7"/>
        <v>4705.7142857142862</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248871.17647058825</v>
      </c>
      <c r="C100" s="663">
        <f t="shared" si="9"/>
        <v>35066.647058823532</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355530.25210084039</v>
      </c>
      <c r="C101" s="666">
        <f t="shared" ref="C101:H101" si="10">$B$97*Q57</f>
        <v>50095.210084033628</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15269.635</v>
      </c>
      <c r="D10" s="718">
        <f ca="1">tertiair!C16</f>
        <v>0</v>
      </c>
      <c r="E10" s="718">
        <f ca="1">tertiair!D16</f>
        <v>18110.027938128784</v>
      </c>
      <c r="F10" s="718">
        <f>tertiair!E16</f>
        <v>195.88616579338256</v>
      </c>
      <c r="G10" s="718">
        <f ca="1">tertiair!F16</f>
        <v>3309.4041009949788</v>
      </c>
      <c r="H10" s="718">
        <f>tertiair!G16</f>
        <v>0</v>
      </c>
      <c r="I10" s="718">
        <f>tertiair!H16</f>
        <v>0</v>
      </c>
      <c r="J10" s="718">
        <f>tertiair!I16</f>
        <v>0</v>
      </c>
      <c r="K10" s="718">
        <f>tertiair!J16</f>
        <v>0</v>
      </c>
      <c r="L10" s="718">
        <f>tertiair!K16</f>
        <v>0</v>
      </c>
      <c r="M10" s="718">
        <f ca="1">tertiair!L16</f>
        <v>0</v>
      </c>
      <c r="N10" s="718">
        <f>tertiair!M16</f>
        <v>0</v>
      </c>
      <c r="O10" s="718">
        <f ca="1">tertiair!N16</f>
        <v>0</v>
      </c>
      <c r="P10" s="718">
        <f>tertiair!O16</f>
        <v>4.6900000000000004</v>
      </c>
      <c r="Q10" s="719">
        <f>tertiair!P16</f>
        <v>0</v>
      </c>
      <c r="R10" s="721">
        <f ca="1">SUM(C10:Q10)</f>
        <v>36889.643204917149</v>
      </c>
      <c r="S10" s="67"/>
    </row>
    <row r="11" spans="1:19" s="474" customFormat="1">
      <c r="A11" s="870" t="s">
        <v>225</v>
      </c>
      <c r="B11" s="875"/>
      <c r="C11" s="718">
        <f>huishoudens!B8</f>
        <v>14336.680724545355</v>
      </c>
      <c r="D11" s="718">
        <f>huishoudens!C8</f>
        <v>0</v>
      </c>
      <c r="E11" s="718">
        <f>huishoudens!D8</f>
        <v>37584.741242884003</v>
      </c>
      <c r="F11" s="718">
        <f>huishoudens!E8</f>
        <v>5247.6754050216568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19871.659051723531</v>
      </c>
      <c r="P11" s="718">
        <f>huishoudens!O8</f>
        <v>96.926666666666677</v>
      </c>
      <c r="Q11" s="719">
        <f>huishoudens!P8</f>
        <v>247.86666666666667</v>
      </c>
      <c r="R11" s="721">
        <f>SUM(C11:Q11)</f>
        <v>77385.549757507877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2589.8139999999999</v>
      </c>
      <c r="D13" s="718">
        <f>industrie!C18</f>
        <v>0</v>
      </c>
      <c r="E13" s="718">
        <f>industrie!D18</f>
        <v>1532.8440475536761</v>
      </c>
      <c r="F13" s="718">
        <f>industrie!E18</f>
        <v>251.16939894761498</v>
      </c>
      <c r="G13" s="718">
        <f>industrie!F18</f>
        <v>1191.6661020657837</v>
      </c>
      <c r="H13" s="718">
        <f>industrie!G18</f>
        <v>0</v>
      </c>
      <c r="I13" s="718">
        <f>industrie!H18</f>
        <v>0</v>
      </c>
      <c r="J13" s="718">
        <f>industrie!I18</f>
        <v>0</v>
      </c>
      <c r="K13" s="718">
        <f>industrie!J18</f>
        <v>0.28235462041211257</v>
      </c>
      <c r="L13" s="718">
        <f>industrie!K18</f>
        <v>0</v>
      </c>
      <c r="M13" s="718">
        <f>industrie!L18</f>
        <v>0</v>
      </c>
      <c r="N13" s="718">
        <f>industrie!M18</f>
        <v>0</v>
      </c>
      <c r="O13" s="718">
        <f>industrie!N18</f>
        <v>743.25835524861395</v>
      </c>
      <c r="P13" s="718">
        <f>industrie!O18</f>
        <v>0</v>
      </c>
      <c r="Q13" s="719">
        <f>industrie!P18</f>
        <v>0</v>
      </c>
      <c r="R13" s="721">
        <f>SUM(C13:Q13)</f>
        <v>6309.0342584361006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32196.129724545353</v>
      </c>
      <c r="D15" s="723">
        <f t="shared" ref="D15:Q15" ca="1" si="0">SUM(D9:D14)</f>
        <v>0</v>
      </c>
      <c r="E15" s="723">
        <f t="shared" ca="1" si="0"/>
        <v>57227.613228566464</v>
      </c>
      <c r="F15" s="723">
        <f t="shared" si="0"/>
        <v>5694.7309697626542</v>
      </c>
      <c r="G15" s="723">
        <f t="shared" ca="1" si="0"/>
        <v>4501.0702030607627</v>
      </c>
      <c r="H15" s="723">
        <f t="shared" si="0"/>
        <v>0</v>
      </c>
      <c r="I15" s="723">
        <f t="shared" si="0"/>
        <v>0</v>
      </c>
      <c r="J15" s="723">
        <f t="shared" si="0"/>
        <v>0</v>
      </c>
      <c r="K15" s="723">
        <f t="shared" si="0"/>
        <v>0.28235462041211257</v>
      </c>
      <c r="L15" s="723">
        <f t="shared" si="0"/>
        <v>0</v>
      </c>
      <c r="M15" s="723">
        <f t="shared" ca="1" si="0"/>
        <v>0</v>
      </c>
      <c r="N15" s="723">
        <f t="shared" si="0"/>
        <v>0</v>
      </c>
      <c r="O15" s="723">
        <f t="shared" ca="1" si="0"/>
        <v>20614.917406972145</v>
      </c>
      <c r="P15" s="723">
        <f t="shared" si="0"/>
        <v>101.61666666666667</v>
      </c>
      <c r="Q15" s="724">
        <f t="shared" si="0"/>
        <v>247.86666666666667</v>
      </c>
      <c r="R15" s="725">
        <f ca="1">SUM(R9:R14)</f>
        <v>120584.22722086114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864.26701513745491</v>
      </c>
      <c r="I18" s="718">
        <f>transport!H54</f>
        <v>0</v>
      </c>
      <c r="J18" s="718">
        <f>transport!I54</f>
        <v>0</v>
      </c>
      <c r="K18" s="718">
        <f>transport!J54</f>
        <v>0</v>
      </c>
      <c r="L18" s="718">
        <f>transport!K54</f>
        <v>0</v>
      </c>
      <c r="M18" s="718">
        <f>transport!L54</f>
        <v>0</v>
      </c>
      <c r="N18" s="718">
        <f>transport!M54</f>
        <v>26.807629286878221</v>
      </c>
      <c r="O18" s="718">
        <f>transport!N54</f>
        <v>0</v>
      </c>
      <c r="P18" s="718">
        <f>transport!O54</f>
        <v>0</v>
      </c>
      <c r="Q18" s="719">
        <f>transport!P54</f>
        <v>0</v>
      </c>
      <c r="R18" s="721">
        <f>SUM(C18:Q18)</f>
        <v>891.07464442433309</v>
      </c>
      <c r="S18" s="67"/>
    </row>
    <row r="19" spans="1:19" s="474" customFormat="1" ht="15" thickBot="1">
      <c r="A19" s="870" t="s">
        <v>307</v>
      </c>
      <c r="B19" s="875"/>
      <c r="C19" s="727">
        <f>transport!B14</f>
        <v>12.552828100993954</v>
      </c>
      <c r="D19" s="727">
        <f>transport!C14</f>
        <v>0</v>
      </c>
      <c r="E19" s="727">
        <f>transport!D14</f>
        <v>27.895270577967995</v>
      </c>
      <c r="F19" s="727">
        <f>transport!E14</f>
        <v>107.77087978201868</v>
      </c>
      <c r="G19" s="727">
        <f>transport!F14</f>
        <v>0</v>
      </c>
      <c r="H19" s="727">
        <f>transport!G14</f>
        <v>34788.137053870014</v>
      </c>
      <c r="I19" s="727">
        <f>transport!H14</f>
        <v>7499.4292191156828</v>
      </c>
      <c r="J19" s="727">
        <f>transport!I14</f>
        <v>0</v>
      </c>
      <c r="K19" s="727">
        <f>transport!J14</f>
        <v>0</v>
      </c>
      <c r="L19" s="727">
        <f>transport!K14</f>
        <v>0</v>
      </c>
      <c r="M19" s="727">
        <f>transport!L14</f>
        <v>0</v>
      </c>
      <c r="N19" s="727">
        <f>transport!M14</f>
        <v>1320.7159779701913</v>
      </c>
      <c r="O19" s="727">
        <f>transport!N14</f>
        <v>0</v>
      </c>
      <c r="P19" s="727">
        <f>transport!O14</f>
        <v>0</v>
      </c>
      <c r="Q19" s="728">
        <f>transport!P14</f>
        <v>0</v>
      </c>
      <c r="R19" s="729">
        <f>SUM(C19:Q19)</f>
        <v>43756.50122941687</v>
      </c>
      <c r="S19" s="67"/>
    </row>
    <row r="20" spans="1:19" s="474" customFormat="1" ht="15.75" thickBot="1">
      <c r="A20" s="730" t="s">
        <v>230</v>
      </c>
      <c r="B20" s="878"/>
      <c r="C20" s="873">
        <f>SUM(C17:C19)</f>
        <v>12.552828100993954</v>
      </c>
      <c r="D20" s="731">
        <f t="shared" ref="D20:R20" si="1">SUM(D17:D19)</f>
        <v>0</v>
      </c>
      <c r="E20" s="731">
        <f t="shared" si="1"/>
        <v>27.895270577967995</v>
      </c>
      <c r="F20" s="731">
        <f t="shared" si="1"/>
        <v>107.77087978201868</v>
      </c>
      <c r="G20" s="731">
        <f t="shared" si="1"/>
        <v>0</v>
      </c>
      <c r="H20" s="731">
        <f t="shared" si="1"/>
        <v>35652.404069007469</v>
      </c>
      <c r="I20" s="731">
        <f t="shared" si="1"/>
        <v>7499.4292191156828</v>
      </c>
      <c r="J20" s="731">
        <f t="shared" si="1"/>
        <v>0</v>
      </c>
      <c r="K20" s="731">
        <f t="shared" si="1"/>
        <v>0</v>
      </c>
      <c r="L20" s="731">
        <f t="shared" si="1"/>
        <v>0</v>
      </c>
      <c r="M20" s="731">
        <f t="shared" si="1"/>
        <v>0</v>
      </c>
      <c r="N20" s="731">
        <f t="shared" si="1"/>
        <v>1347.5236072570694</v>
      </c>
      <c r="O20" s="731">
        <f t="shared" si="1"/>
        <v>0</v>
      </c>
      <c r="P20" s="731">
        <f t="shared" si="1"/>
        <v>0</v>
      </c>
      <c r="Q20" s="732">
        <f t="shared" si="1"/>
        <v>0</v>
      </c>
      <c r="R20" s="733">
        <f t="shared" si="1"/>
        <v>44647.575873841204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12890.485000000001</v>
      </c>
      <c r="D22" s="727">
        <f>+landbouw!C8</f>
        <v>344781.6428571429</v>
      </c>
      <c r="E22" s="727">
        <f>+landbouw!D8</f>
        <v>0</v>
      </c>
      <c r="F22" s="727">
        <f>+landbouw!E8</f>
        <v>332.39611440980667</v>
      </c>
      <c r="G22" s="727">
        <f>+landbouw!F8</f>
        <v>47117.177548617503</v>
      </c>
      <c r="H22" s="727">
        <f>+landbouw!G8</f>
        <v>0</v>
      </c>
      <c r="I22" s="727">
        <f>+landbouw!H8</f>
        <v>0</v>
      </c>
      <c r="J22" s="727">
        <f>+landbouw!I8</f>
        <v>0</v>
      </c>
      <c r="K22" s="727">
        <f>+landbouw!J8</f>
        <v>1855.7556421487864</v>
      </c>
      <c r="L22" s="727">
        <f>+landbouw!K8</f>
        <v>0</v>
      </c>
      <c r="M22" s="727">
        <f>+landbouw!L8</f>
        <v>0</v>
      </c>
      <c r="N22" s="727">
        <f>+landbouw!M8</f>
        <v>0</v>
      </c>
      <c r="O22" s="727">
        <f>+landbouw!N8</f>
        <v>0</v>
      </c>
      <c r="P22" s="727">
        <f>+landbouw!O8</f>
        <v>0</v>
      </c>
      <c r="Q22" s="728">
        <f>+landbouw!P8</f>
        <v>0</v>
      </c>
      <c r="R22" s="729">
        <f>SUM(C22:Q22)</f>
        <v>406977.45716231898</v>
      </c>
      <c r="S22" s="67"/>
    </row>
    <row r="23" spans="1:19" s="474" customFormat="1" ht="17.25" thickTop="1" thickBot="1">
      <c r="A23" s="734" t="s">
        <v>116</v>
      </c>
      <c r="B23" s="864"/>
      <c r="C23" s="735">
        <f ca="1">C20+C15+C22</f>
        <v>45099.167552646351</v>
      </c>
      <c r="D23" s="735">
        <f t="shared" ref="D23:Q23" ca="1" si="2">D20+D15+D22</f>
        <v>344781.6428571429</v>
      </c>
      <c r="E23" s="735">
        <f t="shared" ca="1" si="2"/>
        <v>57255.508499144431</v>
      </c>
      <c r="F23" s="735">
        <f t="shared" si="2"/>
        <v>6134.8979639544796</v>
      </c>
      <c r="G23" s="735">
        <f t="shared" ca="1" si="2"/>
        <v>51618.247751678267</v>
      </c>
      <c r="H23" s="735">
        <f t="shared" si="2"/>
        <v>35652.404069007469</v>
      </c>
      <c r="I23" s="735">
        <f t="shared" si="2"/>
        <v>7499.4292191156828</v>
      </c>
      <c r="J23" s="735">
        <f t="shared" si="2"/>
        <v>0</v>
      </c>
      <c r="K23" s="735">
        <f t="shared" si="2"/>
        <v>1856.0379967691986</v>
      </c>
      <c r="L23" s="735">
        <f t="shared" si="2"/>
        <v>0</v>
      </c>
      <c r="M23" s="735">
        <f t="shared" ca="1" si="2"/>
        <v>0</v>
      </c>
      <c r="N23" s="735">
        <f t="shared" si="2"/>
        <v>1347.5236072570694</v>
      </c>
      <c r="O23" s="735">
        <f t="shared" ca="1" si="2"/>
        <v>20614.917406972145</v>
      </c>
      <c r="P23" s="735">
        <f t="shared" si="2"/>
        <v>101.61666666666667</v>
      </c>
      <c r="Q23" s="736">
        <f t="shared" si="2"/>
        <v>247.86666666666667</v>
      </c>
      <c r="R23" s="737">
        <f ca="1">R20+R15+R22</f>
        <v>572209.26025702129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3112.0453061649373</v>
      </c>
      <c r="D36" s="718">
        <f ca="1">tertiair!C20</f>
        <v>0</v>
      </c>
      <c r="E36" s="718">
        <f ca="1">tertiair!D20</f>
        <v>3658.2256435020145</v>
      </c>
      <c r="F36" s="718">
        <f>tertiair!E20</f>
        <v>44.466159635097846</v>
      </c>
      <c r="G36" s="718">
        <f ca="1">tertiair!F20</f>
        <v>883.61089496565933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7698.3480042677093</v>
      </c>
    </row>
    <row r="37" spans="1:18">
      <c r="A37" s="885" t="s">
        <v>225</v>
      </c>
      <c r="B37" s="892"/>
      <c r="C37" s="718">
        <f ca="1">huishoudens!B12</f>
        <v>2921.9035003002173</v>
      </c>
      <c r="D37" s="718">
        <f ca="1">huishoudens!C12</f>
        <v>0</v>
      </c>
      <c r="E37" s="718">
        <f>huishoudens!D12</f>
        <v>7592.117731062569</v>
      </c>
      <c r="F37" s="718">
        <f>huishoudens!E12</f>
        <v>1191.2223169399163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11705.243548302702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527.81998407560116</v>
      </c>
      <c r="D39" s="718">
        <f ca="1">industrie!C22</f>
        <v>0</v>
      </c>
      <c r="E39" s="718">
        <f>industrie!D22</f>
        <v>309.63449760584257</v>
      </c>
      <c r="F39" s="718">
        <f>industrie!E22</f>
        <v>57.0154535611086</v>
      </c>
      <c r="G39" s="718">
        <f>industrie!F22</f>
        <v>318.17484925156424</v>
      </c>
      <c r="H39" s="718">
        <f>industrie!G22</f>
        <v>0</v>
      </c>
      <c r="I39" s="718">
        <f>industrie!H22</f>
        <v>0</v>
      </c>
      <c r="J39" s="718">
        <f>industrie!I22</f>
        <v>0</v>
      </c>
      <c r="K39" s="718">
        <f>industrie!J22</f>
        <v>9.9953535625887838E-2</v>
      </c>
      <c r="L39" s="718">
        <f>industrie!K22</f>
        <v>0</v>
      </c>
      <c r="M39" s="718">
        <f>industrie!L22</f>
        <v>0</v>
      </c>
      <c r="N39" s="718">
        <f>industrie!M22</f>
        <v>0</v>
      </c>
      <c r="O39" s="718">
        <f>industrie!N22</f>
        <v>0</v>
      </c>
      <c r="P39" s="718">
        <f>industrie!O22</f>
        <v>0</v>
      </c>
      <c r="Q39" s="828">
        <f>industrie!P22</f>
        <v>0</v>
      </c>
      <c r="R39" s="918">
        <f ca="1">SUM(C39:Q39)</f>
        <v>1212.7447380297424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6561.7687905407556</v>
      </c>
      <c r="D41" s="763">
        <f t="shared" ref="D41:R41" ca="1" si="4">SUM(D35:D40)</f>
        <v>0</v>
      </c>
      <c r="E41" s="763">
        <f t="shared" ca="1" si="4"/>
        <v>11559.977872170426</v>
      </c>
      <c r="F41" s="763">
        <f t="shared" si="4"/>
        <v>1292.7039301361228</v>
      </c>
      <c r="G41" s="763">
        <f t="shared" ca="1" si="4"/>
        <v>1201.7857442172235</v>
      </c>
      <c r="H41" s="763">
        <f t="shared" si="4"/>
        <v>0</v>
      </c>
      <c r="I41" s="763">
        <f t="shared" si="4"/>
        <v>0</v>
      </c>
      <c r="J41" s="763">
        <f t="shared" si="4"/>
        <v>0</v>
      </c>
      <c r="K41" s="763">
        <f t="shared" si="4"/>
        <v>9.9953535625887838E-2</v>
      </c>
      <c r="L41" s="763">
        <f t="shared" si="4"/>
        <v>0</v>
      </c>
      <c r="M41" s="763">
        <f t="shared" ca="1" si="4"/>
        <v>0</v>
      </c>
      <c r="N41" s="763">
        <f t="shared" si="4"/>
        <v>0</v>
      </c>
      <c r="O41" s="763">
        <f t="shared" ca="1" si="4"/>
        <v>0</v>
      </c>
      <c r="P41" s="763">
        <f t="shared" si="4"/>
        <v>0</v>
      </c>
      <c r="Q41" s="764">
        <f t="shared" si="4"/>
        <v>0</v>
      </c>
      <c r="R41" s="765">
        <f t="shared" ca="1" si="4"/>
        <v>20616.336290600153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230.75929304170046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230.75929304170046</v>
      </c>
    </row>
    <row r="45" spans="1:18" ht="15" thickBot="1">
      <c r="A45" s="888" t="s">
        <v>307</v>
      </c>
      <c r="B45" s="898"/>
      <c r="C45" s="727">
        <f ca="1">transport!B18</f>
        <v>2.5583433900544161</v>
      </c>
      <c r="D45" s="727">
        <f>transport!C18</f>
        <v>0</v>
      </c>
      <c r="E45" s="727">
        <f>transport!D18</f>
        <v>5.6348446567495358</v>
      </c>
      <c r="F45" s="727">
        <f>transport!E18</f>
        <v>24.463989710518241</v>
      </c>
      <c r="G45" s="727">
        <f>transport!F18</f>
        <v>0</v>
      </c>
      <c r="H45" s="727">
        <f>transport!G18</f>
        <v>9288.4325933832934</v>
      </c>
      <c r="I45" s="727">
        <f>transport!H18</f>
        <v>1867.3578755598051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11188.447646700421</v>
      </c>
    </row>
    <row r="46" spans="1:18" ht="15.75" thickBot="1">
      <c r="A46" s="886" t="s">
        <v>230</v>
      </c>
      <c r="B46" s="899"/>
      <c r="C46" s="763">
        <f t="shared" ref="C46:R46" ca="1" si="5">SUM(C43:C45)</f>
        <v>2.5583433900544161</v>
      </c>
      <c r="D46" s="763">
        <f t="shared" ca="1" si="5"/>
        <v>0</v>
      </c>
      <c r="E46" s="763">
        <f t="shared" si="5"/>
        <v>5.6348446567495358</v>
      </c>
      <c r="F46" s="763">
        <f t="shared" si="5"/>
        <v>24.463989710518241</v>
      </c>
      <c r="G46" s="763">
        <f t="shared" si="5"/>
        <v>0</v>
      </c>
      <c r="H46" s="763">
        <f t="shared" si="5"/>
        <v>9519.1918864249947</v>
      </c>
      <c r="I46" s="763">
        <f t="shared" si="5"/>
        <v>1867.3578755598051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11419.206939742122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2627.1599379054928</v>
      </c>
      <c r="D48" s="718">
        <f ca="1">+landbouw!C12</f>
        <v>71817.110924369757</v>
      </c>
      <c r="E48" s="718">
        <f>+landbouw!D12</f>
        <v>0</v>
      </c>
      <c r="F48" s="718">
        <f>+landbouw!E12</f>
        <v>75.453917971026115</v>
      </c>
      <c r="G48" s="718">
        <f>+landbouw!F12</f>
        <v>12580.286405480874</v>
      </c>
      <c r="H48" s="718">
        <f>+landbouw!G12</f>
        <v>0</v>
      </c>
      <c r="I48" s="718">
        <f>+landbouw!H12</f>
        <v>0</v>
      </c>
      <c r="J48" s="718">
        <f>+landbouw!I12</f>
        <v>0</v>
      </c>
      <c r="K48" s="718">
        <f>+landbouw!J12</f>
        <v>656.93749732067033</v>
      </c>
      <c r="L48" s="718">
        <f>+landbouw!K12</f>
        <v>0</v>
      </c>
      <c r="M48" s="718">
        <f>+landbouw!L12</f>
        <v>0</v>
      </c>
      <c r="N48" s="718">
        <f>+landbouw!M12</f>
        <v>0</v>
      </c>
      <c r="O48" s="718">
        <f>+landbouw!N12</f>
        <v>0</v>
      </c>
      <c r="P48" s="718">
        <f>+landbouw!O12</f>
        <v>0</v>
      </c>
      <c r="Q48" s="719">
        <f>+landbouw!P12</f>
        <v>0</v>
      </c>
      <c r="R48" s="761">
        <f ca="1">SUM(C48:Q48)</f>
        <v>87756.948683047827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9191.4870718363036</v>
      </c>
      <c r="D53" s="773">
        <f t="shared" ref="D53:Q53" ca="1" si="6">D41+D46+D48</f>
        <v>71817.110924369757</v>
      </c>
      <c r="E53" s="773">
        <f t="shared" ca="1" si="6"/>
        <v>11565.612716827176</v>
      </c>
      <c r="F53" s="773">
        <f t="shared" si="6"/>
        <v>1392.6218378176673</v>
      </c>
      <c r="G53" s="773">
        <f t="shared" ca="1" si="6"/>
        <v>13782.072149698099</v>
      </c>
      <c r="H53" s="773">
        <f t="shared" si="6"/>
        <v>9519.1918864249947</v>
      </c>
      <c r="I53" s="773">
        <f t="shared" si="6"/>
        <v>1867.3578755598051</v>
      </c>
      <c r="J53" s="773">
        <f t="shared" si="6"/>
        <v>0</v>
      </c>
      <c r="K53" s="773">
        <f t="shared" si="6"/>
        <v>657.03745085629623</v>
      </c>
      <c r="L53" s="773">
        <f t="shared" si="6"/>
        <v>0</v>
      </c>
      <c r="M53" s="773">
        <f t="shared" ca="1" si="6"/>
        <v>0</v>
      </c>
      <c r="N53" s="773">
        <f t="shared" si="6"/>
        <v>0</v>
      </c>
      <c r="O53" s="773">
        <f t="shared" ca="1" si="6"/>
        <v>0</v>
      </c>
      <c r="P53" s="773">
        <f>P41+P46+P48</f>
        <v>0</v>
      </c>
      <c r="Q53" s="774">
        <f t="shared" si="6"/>
        <v>0</v>
      </c>
      <c r="R53" s="775">
        <f ca="1">R41+R46+R48</f>
        <v>119792.4919133901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0.20380613591385371</v>
      </c>
      <c r="D55" s="836">
        <f t="shared" ca="1" si="7"/>
        <v>0.20829737433012499</v>
      </c>
      <c r="E55" s="836">
        <f t="shared" ca="1" si="7"/>
        <v>0.20200000000000001</v>
      </c>
      <c r="F55" s="836">
        <f t="shared" si="7"/>
        <v>0.22700000000000006</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3671.5228544628608</v>
      </c>
      <c r="C66" s="795">
        <f>'lokale energieproductie'!B6</f>
        <v>3671.5228544628608</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241347.15</v>
      </c>
      <c r="C67" s="794">
        <f>B67*IFERROR(SUM(J67:L67)/SUM(D67:M67),0)</f>
        <v>29806.649999999994</v>
      </c>
      <c r="D67" s="826">
        <f>'lokale energieproductie'!C7</f>
        <v>248871.17647058825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35066.647058823532</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50271.977647058833</v>
      </c>
      <c r="P67" s="922">
        <v>0</v>
      </c>
      <c r="Q67" s="785"/>
      <c r="R67" s="742"/>
    </row>
    <row r="68" spans="1:18" ht="30.75" thickBot="1">
      <c r="A68" s="801" t="s">
        <v>353</v>
      </c>
      <c r="B68" s="794">
        <f>'lokale energieproductie'!B8</f>
        <v>1647</v>
      </c>
      <c r="C68" s="794">
        <f>B68*IFERROR(SUM(J68:L68)/SUM(D68:M68),0)</f>
        <v>1647</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4705.7142857142862</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246665.67285446284</v>
      </c>
      <c r="C69" s="803">
        <f>SUM(C64:C68)</f>
        <v>35125.172854462857</v>
      </c>
      <c r="D69" s="804">
        <f t="shared" ref="D69:M69" si="8">SUM(D67:D68)</f>
        <v>248871.17647058825</v>
      </c>
      <c r="E69" s="804">
        <f t="shared" si="8"/>
        <v>0</v>
      </c>
      <c r="F69" s="804">
        <f t="shared" si="8"/>
        <v>0</v>
      </c>
      <c r="G69" s="804">
        <f t="shared" si="8"/>
        <v>0</v>
      </c>
      <c r="H69" s="804">
        <f t="shared" si="8"/>
        <v>0</v>
      </c>
      <c r="I69" s="804">
        <f t="shared" si="8"/>
        <v>0</v>
      </c>
      <c r="J69" s="804">
        <f t="shared" si="8"/>
        <v>0</v>
      </c>
      <c r="K69" s="804">
        <f t="shared" si="8"/>
        <v>39772.361344537814</v>
      </c>
      <c r="L69" s="804">
        <f t="shared" si="8"/>
        <v>0</v>
      </c>
      <c r="M69" s="930">
        <f t="shared" si="8"/>
        <v>0</v>
      </c>
      <c r="N69" s="805">
        <v>0</v>
      </c>
      <c r="O69" s="805">
        <f>SUM(O67:O68)</f>
        <v>50271.977647058833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344781.6428571429</v>
      </c>
      <c r="C78" s="817">
        <f>B78*IFERROR(SUM(I78:L78)/SUM(D78:M78),0)</f>
        <v>42580.928571428587</v>
      </c>
      <c r="D78" s="832">
        <f>'lokale energieproductie'!C16</f>
        <v>355530.25210084039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50095.210084033628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71817.110924369757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344781.6428571429</v>
      </c>
      <c r="C81" s="803">
        <f>SUM(C78:C80)</f>
        <v>42580.928571428587</v>
      </c>
      <c r="D81" s="803">
        <f t="shared" ref="D81:P81" si="9">SUM(D78:D80)</f>
        <v>355530.25210084039</v>
      </c>
      <c r="E81" s="803">
        <f t="shared" si="9"/>
        <v>0</v>
      </c>
      <c r="F81" s="803">
        <f t="shared" si="9"/>
        <v>0</v>
      </c>
      <c r="G81" s="803">
        <f t="shared" si="9"/>
        <v>0</v>
      </c>
      <c r="H81" s="803">
        <f t="shared" si="9"/>
        <v>0</v>
      </c>
      <c r="I81" s="803">
        <f t="shared" si="9"/>
        <v>0</v>
      </c>
      <c r="J81" s="803">
        <f t="shared" si="9"/>
        <v>0</v>
      </c>
      <c r="K81" s="803">
        <f t="shared" si="9"/>
        <v>50095.210084033628</v>
      </c>
      <c r="L81" s="803">
        <f t="shared" si="9"/>
        <v>0</v>
      </c>
      <c r="M81" s="803">
        <f t="shared" si="9"/>
        <v>0</v>
      </c>
      <c r="N81" s="803">
        <v>0</v>
      </c>
      <c r="O81" s="803">
        <f>SUM(O78:O80)</f>
        <v>71817.110924369757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14336.680724545355</v>
      </c>
      <c r="C4" s="478">
        <f>huishoudens!C8</f>
        <v>0</v>
      </c>
      <c r="D4" s="478">
        <f>huishoudens!D8</f>
        <v>37584.741242884003</v>
      </c>
      <c r="E4" s="478">
        <f>huishoudens!E8</f>
        <v>5247.6754050216568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19871.659051723531</v>
      </c>
      <c r="O4" s="478">
        <f>huishoudens!O8</f>
        <v>96.926666666666677</v>
      </c>
      <c r="P4" s="479">
        <f>huishoudens!P8</f>
        <v>247.86666666666667</v>
      </c>
      <c r="Q4" s="480">
        <f>SUM(B4:P4)</f>
        <v>77385.549757507877</v>
      </c>
    </row>
    <row r="5" spans="1:17">
      <c r="A5" s="477" t="s">
        <v>156</v>
      </c>
      <c r="B5" s="478">
        <f ca="1">tertiair!B16</f>
        <v>14855.608</v>
      </c>
      <c r="C5" s="478">
        <f ca="1">tertiair!C16</f>
        <v>0</v>
      </c>
      <c r="D5" s="478">
        <f ca="1">tertiair!D16</f>
        <v>18110.027938128784</v>
      </c>
      <c r="E5" s="478">
        <f>tertiair!E16</f>
        <v>195.88616579338256</v>
      </c>
      <c r="F5" s="478">
        <f ca="1">tertiair!F16</f>
        <v>3309.4041009949788</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4.6900000000000004</v>
      </c>
      <c r="P5" s="479">
        <f>tertiair!P16</f>
        <v>0</v>
      </c>
      <c r="Q5" s="477">
        <f t="shared" ref="Q5:Q13" ca="1" si="0">SUM(B5:P5)</f>
        <v>36475.616204917147</v>
      </c>
    </row>
    <row r="6" spans="1:17">
      <c r="A6" s="477" t="s">
        <v>194</v>
      </c>
      <c r="B6" s="478">
        <f>'openbare verlichting'!B8</f>
        <v>414.02699999999999</v>
      </c>
      <c r="C6" s="478"/>
      <c r="D6" s="478"/>
      <c r="E6" s="478"/>
      <c r="F6" s="478"/>
      <c r="G6" s="478"/>
      <c r="H6" s="478"/>
      <c r="I6" s="478"/>
      <c r="J6" s="478"/>
      <c r="K6" s="478"/>
      <c r="L6" s="478"/>
      <c r="M6" s="478"/>
      <c r="N6" s="478"/>
      <c r="O6" s="478"/>
      <c r="P6" s="479"/>
      <c r="Q6" s="477">
        <f t="shared" si="0"/>
        <v>414.02699999999999</v>
      </c>
    </row>
    <row r="7" spans="1:17">
      <c r="A7" s="477" t="s">
        <v>112</v>
      </c>
      <c r="B7" s="478">
        <f>landbouw!B8</f>
        <v>12890.485000000001</v>
      </c>
      <c r="C7" s="478">
        <f>landbouw!C8</f>
        <v>344781.6428571429</v>
      </c>
      <c r="D7" s="478">
        <f>landbouw!D8</f>
        <v>0</v>
      </c>
      <c r="E7" s="478">
        <f>landbouw!E8</f>
        <v>332.39611440980667</v>
      </c>
      <c r="F7" s="478">
        <f>landbouw!F8</f>
        <v>47117.177548617503</v>
      </c>
      <c r="G7" s="478">
        <f>landbouw!G8</f>
        <v>0</v>
      </c>
      <c r="H7" s="478">
        <f>landbouw!H8</f>
        <v>0</v>
      </c>
      <c r="I7" s="478">
        <f>landbouw!I8</f>
        <v>0</v>
      </c>
      <c r="J7" s="478">
        <f>landbouw!J8</f>
        <v>1855.7556421487864</v>
      </c>
      <c r="K7" s="478">
        <f>landbouw!K8</f>
        <v>0</v>
      </c>
      <c r="L7" s="478">
        <f>landbouw!L8</f>
        <v>0</v>
      </c>
      <c r="M7" s="478">
        <f>landbouw!M8</f>
        <v>0</v>
      </c>
      <c r="N7" s="478">
        <f>landbouw!N8</f>
        <v>0</v>
      </c>
      <c r="O7" s="478">
        <f>landbouw!O8</f>
        <v>0</v>
      </c>
      <c r="P7" s="479">
        <f>landbouw!P8</f>
        <v>0</v>
      </c>
      <c r="Q7" s="477">
        <f t="shared" si="0"/>
        <v>406977.45716231898</v>
      </c>
    </row>
    <row r="8" spans="1:17">
      <c r="A8" s="477" t="s">
        <v>638</v>
      </c>
      <c r="B8" s="478">
        <f>industrie!B18</f>
        <v>2589.8139999999999</v>
      </c>
      <c r="C8" s="478">
        <f>industrie!C18</f>
        <v>0</v>
      </c>
      <c r="D8" s="478">
        <f>industrie!D18</f>
        <v>1532.8440475536761</v>
      </c>
      <c r="E8" s="478">
        <f>industrie!E18</f>
        <v>251.16939894761498</v>
      </c>
      <c r="F8" s="478">
        <f>industrie!F18</f>
        <v>1191.6661020657837</v>
      </c>
      <c r="G8" s="478">
        <f>industrie!G18</f>
        <v>0</v>
      </c>
      <c r="H8" s="478">
        <f>industrie!H18</f>
        <v>0</v>
      </c>
      <c r="I8" s="478">
        <f>industrie!I18</f>
        <v>0</v>
      </c>
      <c r="J8" s="478">
        <f>industrie!J18</f>
        <v>0.28235462041211257</v>
      </c>
      <c r="K8" s="478">
        <f>industrie!K18</f>
        <v>0</v>
      </c>
      <c r="L8" s="478">
        <f>industrie!L18</f>
        <v>0</v>
      </c>
      <c r="M8" s="478">
        <f>industrie!M18</f>
        <v>0</v>
      </c>
      <c r="N8" s="478">
        <f>industrie!N18</f>
        <v>743.25835524861395</v>
      </c>
      <c r="O8" s="478">
        <f>industrie!O18</f>
        <v>0</v>
      </c>
      <c r="P8" s="479">
        <f>industrie!P18</f>
        <v>0</v>
      </c>
      <c r="Q8" s="477">
        <f t="shared" si="0"/>
        <v>6309.0342584361006</v>
      </c>
    </row>
    <row r="9" spans="1:17" s="483" customFormat="1">
      <c r="A9" s="481" t="s">
        <v>564</v>
      </c>
      <c r="B9" s="482">
        <f>transport!B14</f>
        <v>12.552828100993954</v>
      </c>
      <c r="C9" s="482">
        <f>transport!C14</f>
        <v>0</v>
      </c>
      <c r="D9" s="482">
        <f>transport!D14</f>
        <v>27.895270577967995</v>
      </c>
      <c r="E9" s="482">
        <f>transport!E14</f>
        <v>107.77087978201868</v>
      </c>
      <c r="F9" s="482">
        <f>transport!F14</f>
        <v>0</v>
      </c>
      <c r="G9" s="482">
        <f>transport!G14</f>
        <v>34788.137053870014</v>
      </c>
      <c r="H9" s="482">
        <f>transport!H14</f>
        <v>7499.4292191156828</v>
      </c>
      <c r="I9" s="482">
        <f>transport!I14</f>
        <v>0</v>
      </c>
      <c r="J9" s="482">
        <f>transport!J14</f>
        <v>0</v>
      </c>
      <c r="K9" s="482">
        <f>transport!K14</f>
        <v>0</v>
      </c>
      <c r="L9" s="482">
        <f>transport!L14</f>
        <v>0</v>
      </c>
      <c r="M9" s="482">
        <f>transport!M14</f>
        <v>1320.7159779701913</v>
      </c>
      <c r="N9" s="482">
        <f>transport!N14</f>
        <v>0</v>
      </c>
      <c r="O9" s="482">
        <f>transport!O14</f>
        <v>0</v>
      </c>
      <c r="P9" s="482">
        <f>transport!P14</f>
        <v>0</v>
      </c>
      <c r="Q9" s="481">
        <f>SUM(B9:P9)</f>
        <v>43756.50122941687</v>
      </c>
    </row>
    <row r="10" spans="1:17">
      <c r="A10" s="477" t="s">
        <v>554</v>
      </c>
      <c r="B10" s="478">
        <f>transport!B54</f>
        <v>0</v>
      </c>
      <c r="C10" s="478">
        <f>transport!C54</f>
        <v>0</v>
      </c>
      <c r="D10" s="478">
        <f>transport!D54</f>
        <v>0</v>
      </c>
      <c r="E10" s="478">
        <f>transport!E54</f>
        <v>0</v>
      </c>
      <c r="F10" s="478">
        <f>transport!F54</f>
        <v>0</v>
      </c>
      <c r="G10" s="478">
        <f>transport!G54</f>
        <v>864.26701513745491</v>
      </c>
      <c r="H10" s="478">
        <f>transport!H54</f>
        <v>0</v>
      </c>
      <c r="I10" s="478">
        <f>transport!I54</f>
        <v>0</v>
      </c>
      <c r="J10" s="478">
        <f>transport!J54</f>
        <v>0</v>
      </c>
      <c r="K10" s="478">
        <f>transport!K54</f>
        <v>0</v>
      </c>
      <c r="L10" s="478">
        <f>transport!L54</f>
        <v>0</v>
      </c>
      <c r="M10" s="478">
        <f>transport!M54</f>
        <v>26.807629286878221</v>
      </c>
      <c r="N10" s="478">
        <f>transport!N54</f>
        <v>0</v>
      </c>
      <c r="O10" s="478">
        <f>transport!O54</f>
        <v>0</v>
      </c>
      <c r="P10" s="479">
        <f>transport!P54</f>
        <v>0</v>
      </c>
      <c r="Q10" s="477">
        <f t="shared" si="0"/>
        <v>891.07464442433309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45099.167552646344</v>
      </c>
      <c r="C14" s="488">
        <f t="shared" ref="C14:Q14" ca="1" si="1">SUM(C4:C13)</f>
        <v>344781.6428571429</v>
      </c>
      <c r="D14" s="488">
        <f t="shared" ca="1" si="1"/>
        <v>57255.508499144431</v>
      </c>
      <c r="E14" s="488">
        <f t="shared" si="1"/>
        <v>6134.8979639544796</v>
      </c>
      <c r="F14" s="488">
        <f t="shared" ca="1" si="1"/>
        <v>51618.247751678267</v>
      </c>
      <c r="G14" s="488">
        <f t="shared" si="1"/>
        <v>35652.404069007469</v>
      </c>
      <c r="H14" s="488">
        <f t="shared" si="1"/>
        <v>7499.4292191156828</v>
      </c>
      <c r="I14" s="488">
        <f t="shared" si="1"/>
        <v>0</v>
      </c>
      <c r="J14" s="488">
        <f t="shared" si="1"/>
        <v>1856.0379967691986</v>
      </c>
      <c r="K14" s="488">
        <f t="shared" si="1"/>
        <v>0</v>
      </c>
      <c r="L14" s="488">
        <f t="shared" ca="1" si="1"/>
        <v>0</v>
      </c>
      <c r="M14" s="488">
        <f t="shared" si="1"/>
        <v>1347.5236072570694</v>
      </c>
      <c r="N14" s="488">
        <f t="shared" ca="1" si="1"/>
        <v>20614.917406972145</v>
      </c>
      <c r="O14" s="488">
        <f t="shared" si="1"/>
        <v>101.61666666666667</v>
      </c>
      <c r="P14" s="489">
        <f t="shared" si="1"/>
        <v>247.86666666666667</v>
      </c>
      <c r="Q14" s="489">
        <f t="shared" ca="1" si="1"/>
        <v>572209.26025702141</v>
      </c>
    </row>
    <row r="16" spans="1:17">
      <c r="A16" s="491" t="s">
        <v>559</v>
      </c>
      <c r="B16" s="841">
        <f ca="1">huishoudens!B10</f>
        <v>0.20380613591385371</v>
      </c>
      <c r="C16" s="841">
        <f ca="1">huishoudens!C10</f>
        <v>0.20829737433012499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2921.9035003002173</v>
      </c>
      <c r="C21" s="478">
        <f t="shared" ref="C21:C30" ca="1" si="3">C4*$C$16</f>
        <v>0</v>
      </c>
      <c r="D21" s="478">
        <f t="shared" ref="D21:D30" si="4">D4*$D$16</f>
        <v>7592.117731062569</v>
      </c>
      <c r="E21" s="478">
        <f t="shared" ref="E21:E30" si="5">E4*$E$16</f>
        <v>1191.2223169399163</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11705.243548302702</v>
      </c>
    </row>
    <row r="22" spans="1:17">
      <c r="A22" s="477" t="s">
        <v>156</v>
      </c>
      <c r="B22" s="478">
        <f t="shared" ca="1" si="2"/>
        <v>3027.6640631309324</v>
      </c>
      <c r="C22" s="478">
        <f t="shared" ca="1" si="3"/>
        <v>0</v>
      </c>
      <c r="D22" s="478">
        <f t="shared" ca="1" si="4"/>
        <v>3658.2256435020145</v>
      </c>
      <c r="E22" s="478">
        <f t="shared" si="5"/>
        <v>44.466159635097846</v>
      </c>
      <c r="F22" s="478">
        <f t="shared" ca="1" si="6"/>
        <v>883.61089496565933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7613.9667612337034</v>
      </c>
    </row>
    <row r="23" spans="1:17">
      <c r="A23" s="477" t="s">
        <v>194</v>
      </c>
      <c r="B23" s="478">
        <f t="shared" ca="1" si="2"/>
        <v>84.381243034005109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84.381243034005109</v>
      </c>
    </row>
    <row r="24" spans="1:17">
      <c r="A24" s="477" t="s">
        <v>112</v>
      </c>
      <c r="B24" s="478">
        <f t="shared" ca="1" si="2"/>
        <v>2627.1599379054928</v>
      </c>
      <c r="C24" s="478">
        <f t="shared" ca="1" si="3"/>
        <v>71817.110924369757</v>
      </c>
      <c r="D24" s="478">
        <f t="shared" si="4"/>
        <v>0</v>
      </c>
      <c r="E24" s="478">
        <f t="shared" si="5"/>
        <v>75.453917971026115</v>
      </c>
      <c r="F24" s="478">
        <f t="shared" si="6"/>
        <v>12580.286405480874</v>
      </c>
      <c r="G24" s="478">
        <f t="shared" si="7"/>
        <v>0</v>
      </c>
      <c r="H24" s="478">
        <f t="shared" si="8"/>
        <v>0</v>
      </c>
      <c r="I24" s="478">
        <f t="shared" si="9"/>
        <v>0</v>
      </c>
      <c r="J24" s="478">
        <f t="shared" si="10"/>
        <v>656.93749732067033</v>
      </c>
      <c r="K24" s="478">
        <f t="shared" si="11"/>
        <v>0</v>
      </c>
      <c r="L24" s="478">
        <f t="shared" si="12"/>
        <v>0</v>
      </c>
      <c r="M24" s="478">
        <f t="shared" si="13"/>
        <v>0</v>
      </c>
      <c r="N24" s="478">
        <f t="shared" si="14"/>
        <v>0</v>
      </c>
      <c r="O24" s="478">
        <f t="shared" si="15"/>
        <v>0</v>
      </c>
      <c r="P24" s="479">
        <f t="shared" si="16"/>
        <v>0</v>
      </c>
      <c r="Q24" s="477">
        <f t="shared" ca="1" si="17"/>
        <v>87756.948683047827</v>
      </c>
    </row>
    <row r="25" spans="1:17">
      <c r="A25" s="477" t="s">
        <v>638</v>
      </c>
      <c r="B25" s="478">
        <f t="shared" ca="1" si="2"/>
        <v>527.81998407560116</v>
      </c>
      <c r="C25" s="478">
        <f t="shared" ca="1" si="3"/>
        <v>0</v>
      </c>
      <c r="D25" s="478">
        <f t="shared" si="4"/>
        <v>309.63449760584257</v>
      </c>
      <c r="E25" s="478">
        <f t="shared" si="5"/>
        <v>57.0154535611086</v>
      </c>
      <c r="F25" s="478">
        <f t="shared" si="6"/>
        <v>318.17484925156424</v>
      </c>
      <c r="G25" s="478">
        <f t="shared" si="7"/>
        <v>0</v>
      </c>
      <c r="H25" s="478">
        <f t="shared" si="8"/>
        <v>0</v>
      </c>
      <c r="I25" s="478">
        <f t="shared" si="9"/>
        <v>0</v>
      </c>
      <c r="J25" s="478">
        <f t="shared" si="10"/>
        <v>9.9953535625887838E-2</v>
      </c>
      <c r="K25" s="478">
        <f t="shared" si="11"/>
        <v>0</v>
      </c>
      <c r="L25" s="478">
        <f t="shared" si="12"/>
        <v>0</v>
      </c>
      <c r="M25" s="478">
        <f t="shared" si="13"/>
        <v>0</v>
      </c>
      <c r="N25" s="478">
        <f t="shared" si="14"/>
        <v>0</v>
      </c>
      <c r="O25" s="478">
        <f t="shared" si="15"/>
        <v>0</v>
      </c>
      <c r="P25" s="479">
        <f t="shared" si="16"/>
        <v>0</v>
      </c>
      <c r="Q25" s="477">
        <f t="shared" ca="1" si="17"/>
        <v>1212.7447380297424</v>
      </c>
    </row>
    <row r="26" spans="1:17" s="483" customFormat="1">
      <c r="A26" s="481" t="s">
        <v>564</v>
      </c>
      <c r="B26" s="835">
        <f t="shared" ca="1" si="2"/>
        <v>2.5583433900544161</v>
      </c>
      <c r="C26" s="482">
        <f t="shared" ca="1" si="3"/>
        <v>0</v>
      </c>
      <c r="D26" s="482">
        <f t="shared" si="4"/>
        <v>5.6348446567495358</v>
      </c>
      <c r="E26" s="482">
        <f t="shared" si="5"/>
        <v>24.463989710518241</v>
      </c>
      <c r="F26" s="482">
        <f t="shared" si="6"/>
        <v>0</v>
      </c>
      <c r="G26" s="482">
        <f t="shared" si="7"/>
        <v>9288.4325933832934</v>
      </c>
      <c r="H26" s="482">
        <f t="shared" si="8"/>
        <v>1867.3578755598051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11188.447646700421</v>
      </c>
    </row>
    <row r="27" spans="1:17">
      <c r="A27" s="477" t="s">
        <v>554</v>
      </c>
      <c r="B27" s="478">
        <f t="shared" ca="1" si="2"/>
        <v>0</v>
      </c>
      <c r="C27" s="478">
        <f t="shared" ca="1" si="3"/>
        <v>0</v>
      </c>
      <c r="D27" s="478">
        <f t="shared" si="4"/>
        <v>0</v>
      </c>
      <c r="E27" s="478">
        <f t="shared" si="5"/>
        <v>0</v>
      </c>
      <c r="F27" s="478">
        <f t="shared" si="6"/>
        <v>0</v>
      </c>
      <c r="G27" s="478">
        <f t="shared" si="7"/>
        <v>230.75929304170046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230.75929304170046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9191.4870718363018</v>
      </c>
      <c r="C31" s="488">
        <f t="shared" ca="1" si="18"/>
        <v>71817.110924369757</v>
      </c>
      <c r="D31" s="488">
        <f t="shared" ca="1" si="18"/>
        <v>11565.612716827176</v>
      </c>
      <c r="E31" s="488">
        <f t="shared" si="18"/>
        <v>1392.6218378176673</v>
      </c>
      <c r="F31" s="488">
        <f t="shared" ca="1" si="18"/>
        <v>13782.072149698097</v>
      </c>
      <c r="G31" s="488">
        <f t="shared" si="18"/>
        <v>9519.1918864249947</v>
      </c>
      <c r="H31" s="488">
        <f t="shared" si="18"/>
        <v>1867.3578755598051</v>
      </c>
      <c r="I31" s="488">
        <f t="shared" si="18"/>
        <v>0</v>
      </c>
      <c r="J31" s="488">
        <f t="shared" si="18"/>
        <v>657.03745085629623</v>
      </c>
      <c r="K31" s="488">
        <f t="shared" si="18"/>
        <v>0</v>
      </c>
      <c r="L31" s="488">
        <f t="shared" ca="1" si="18"/>
        <v>0</v>
      </c>
      <c r="M31" s="488">
        <f t="shared" si="18"/>
        <v>0</v>
      </c>
      <c r="N31" s="488">
        <f t="shared" ca="1" si="18"/>
        <v>0</v>
      </c>
      <c r="O31" s="488">
        <f t="shared" si="18"/>
        <v>0</v>
      </c>
      <c r="P31" s="489">
        <f t="shared" si="18"/>
        <v>0</v>
      </c>
      <c r="Q31" s="489">
        <f t="shared" ca="1" si="18"/>
        <v>119792.4919133901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0.20380613591385371</v>
      </c>
      <c r="C17" s="528">
        <f ca="1">'EF ele_warmte'!B22</f>
        <v>0.20829737433012499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0.20380613591385371</v>
      </c>
      <c r="C17" s="528">
        <f ca="1">'EF ele_warmte'!B22</f>
        <v>0.20829737433012499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0.20380613591385371</v>
      </c>
      <c r="C29" s="529">
        <f ca="1">'EF ele_warmte'!B22</f>
        <v>0.20829737433012499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2018-06-27T09:41:08Z</dcterms:modified>
</cp:coreProperties>
</file>