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C16" s="1"/>
  <c r="D10" i="14" s="1"/>
  <c r="L6" i="17"/>
  <c r="L5" s="1"/>
  <c r="B8" i="9"/>
  <c r="B6" i="48" s="1"/>
  <c r="Q6" s="1"/>
  <c r="I8" i="18"/>
  <c r="J68" i="14" s="1"/>
  <c r="I14" i="15"/>
  <c r="I16" s="1"/>
  <c r="J10" i="14" s="1"/>
  <c r="J15" s="1"/>
  <c r="B13" i="16"/>
  <c r="C35"/>
  <c r="E9" i="14"/>
  <c r="D14" i="15"/>
  <c r="P22" i="16"/>
  <c r="Q39" i="14" s="1"/>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I5"/>
  <c r="I22" s="1"/>
  <c r="I31" s="1"/>
  <c r="L22" i="16"/>
  <c r="M39" i="14" s="1"/>
  <c r="M13"/>
  <c r="E8" i="17"/>
  <c r="F22" i="14" s="1"/>
  <c r="O18" i="16"/>
  <c r="O22" s="1"/>
  <c r="P39"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C50" i="13"/>
  <c r="J5" s="1"/>
  <c r="J8" s="1"/>
  <c r="E12" i="17"/>
  <c r="F48" i="14" s="1"/>
  <c r="C5" i="48"/>
  <c r="P41" i="14" l="1"/>
  <c r="P53" s="1"/>
  <c r="N7" i="48"/>
  <c r="N24" s="1"/>
  <c r="G14" i="22"/>
  <c r="H14"/>
  <c r="I19" i="14" s="1"/>
  <c r="I20" s="1"/>
  <c r="I23" s="1"/>
  <c r="I14" i="48"/>
  <c r="P13" i="14"/>
  <c r="P15" s="1"/>
  <c r="P23" s="1"/>
  <c r="P55" s="1"/>
  <c r="E7" i="48"/>
  <c r="E24" s="1"/>
  <c r="D8"/>
  <c r="D25" s="1"/>
  <c r="E20" i="15"/>
  <c r="F36" i="14" s="1"/>
  <c r="E16" i="15"/>
  <c r="F10" i="14" s="1"/>
  <c r="J16" i="15"/>
  <c r="K10" i="14" s="1"/>
  <c r="O22"/>
  <c r="L7" i="48"/>
  <c r="L24" s="1"/>
  <c r="M22" i="14"/>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M18" i="22"/>
  <c r="N45" i="14" s="1"/>
  <c r="M9" i="48"/>
  <c r="N19" i="14"/>
  <c r="E5" i="48"/>
  <c r="E22" s="1"/>
  <c r="P14"/>
  <c r="B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J20" i="15"/>
  <c r="K36" i="14" s="1"/>
  <c r="M16" i="18"/>
  <c r="M19" s="1"/>
  <c r="N20" i="14"/>
  <c r="N23" s="1"/>
  <c r="J18" i="16"/>
  <c r="J22" s="1"/>
  <c r="K39" i="14"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R10" i="14"/>
  <c r="Q5" i="48" l="1"/>
  <c r="K41" i="14"/>
  <c r="K53" s="1"/>
  <c r="K55" s="1"/>
  <c r="J8" i="48"/>
  <c r="J25" s="1"/>
  <c r="J31" s="1"/>
  <c r="N25"/>
  <c r="N31" s="1"/>
  <c r="N14"/>
  <c r="E25"/>
  <c r="E31" s="1"/>
  <c r="E14"/>
  <c r="K13" i="14"/>
  <c r="K15" s="1"/>
  <c r="K23" s="1"/>
  <c r="H55"/>
  <c r="E55"/>
  <c r="C78"/>
  <c r="C81" s="1"/>
  <c r="R19"/>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J14" l="1"/>
  <c r="Q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<sst xmlns="http://schemas.openxmlformats.org/spreadsheetml/2006/main" count="1924" uniqueCount="818">
  <si>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</si>
  <si>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</si>
  <si>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</si>
  <si>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</si>
  <si>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</si>
  <si>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</si>
  <si>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</si>
  <si>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</si>
  <si>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</si>
  <si>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</si>
  <si>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</si>
  <si>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</si>
  <si>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</si>
  <si>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</si>
  <si>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</si>
  <si>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</si>
  <si>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</si>
  <si>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</si>
  <si>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</si>
  <si>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</si>
  <si>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</si>
  <si>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</si>
  <si>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</si>
  <si>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</si>
  <si>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</si>
  <si>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</si>
  <si>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</si>
  <si>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</si>
  <si>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</si>
  <si>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</si>
  <si>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</si>
  <si>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</si>
  <si>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</si>
  <si>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</si>
  <si>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</si>
  <si>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</si>
  <si>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</si>
  <si>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</si>
  <si>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</si>
  <si>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</si>
  <si>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</si>
  <si>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</si>
  <si>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</si>
  <si>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</si>
  <si>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</si>
  <si>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</si>
  <si>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</si>
  <si>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</si>
  <si>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</si>
  <si>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</si>
  <si>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</si>
  <si>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</si>
  <si>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</si>
  <si>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</si>
  <si>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</si>
  <si>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</si>
  <si>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</si>
  <si>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</si>
  <si>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</si>
  <si>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</si>
  <si>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</si>
  <si>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</si>
  <si>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</si>
  <si>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</si>
  <si>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</si>
  <si>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</si>
  <si>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</si>
  <si>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</si>
  <si>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</si>
  <si>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</si>
  <si>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</si>
  <si>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</si>
  <si>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</si>
  <si>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</si>
  <si>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</si>
  <si>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</si>
  <si>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</si>
  <si>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</si>
  <si>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</si>
  <si>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</si>
  <si>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</si>
  <si>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</si>
  <si>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</si>
  <si>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</si>
  <si>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</si>
  <si>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</si>
  <si>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</si>
  <si>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</si>
  <si>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</si>
  <si>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</si>
  <si>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</si>
  <si>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</si>
  <si>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</si>
  <si>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</si>
  <si>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</si>
  <si>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</si>
  <si>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</si>
  <si>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</si>
  <si>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</si>
  <si>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</si>
  <si>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</si>
  <si>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</si>
  <si>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</si>
  <si>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</si>
  <si>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</si>
  <si>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</si>
  <si>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</si>
  <si>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</si>
  <si>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</si>
  <si>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</si>
  <si>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</si>
  <si>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</si>
  <si>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</si>
  <si>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</si>
  <si>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</si>
  <si>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</si>
  <si>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</si>
  <si>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</si>
  <si>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</si>
  <si>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</si>
  <si>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</si>
  <si>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</si>
  <si>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</si>
  <si>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</si>
  <si>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</si>
  <si>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</si>
  <si>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</si>
  <si>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</si>
  <si>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</si>
  <si>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</si>
  <si>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</si>
  <si>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</si>
  <si>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</si>
  <si>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</si>
  <si>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</si>
  <si>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</si>
  <si>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</si>
  <si>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</si>
  <si>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</si>
  <si>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</si>
  <si>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</si>
  <si>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</si>
  <si>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</si>
  <si>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</si>
  <si>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</si>
  <si>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</si>
  <si>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</si>
  <si>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</si>
  <si>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</si>
  <si>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</si>
  <si>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</si>
  <si>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</si>
  <si>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</si>
  <si>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</si>
  <si>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</si>
  <si>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</si>
  <si>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</si>
  <si>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</si>
  <si>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</si>
  <si>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</si>
  <si>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</si>
  <si>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</si>
  <si>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</si>
  <si>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</si>
  <si>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</si>
  <si>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</si>
  <si>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</si>
  <si>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</si>
  <si>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</si>
  <si>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</si>
  <si>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</si>
  <si>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</si>
  <si>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</si>
  <si>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</si>
  <si>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</si>
  <si>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</si>
  <si>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</si>
  <si>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</si>
  <si>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</si>
  <si>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</si>
  <si>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</si>
  <si>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</si>
  <si>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</si>
  <si>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</si>
  <si>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</si>
  <si>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</si>
  <si>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</si>
  <si>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</si>
  <si>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</si>
  <si>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</si>
  <si>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</si>
  <si>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</si>
  <si>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</si>
  <si>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</si>
  <si>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</si>
  <si>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</si>
  <si>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</si>
  <si>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</si>
  <si>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</si>
  <si>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</si>
  <si>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</si>
  <si>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</si>
  <si>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</si>
  <si>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</si>
  <si>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</si>
  <si>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</si>
  <si>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</si>
  <si>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</si>
  <si>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</si>
  <si>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</si>
  <si>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</si>
  <si>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</si>
  <si>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</si>
  <si>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</si>
  <si>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</si>
  <si>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</si>
  <si>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</si>
  <si>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</si>
  <si>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</si>
  <si>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</si>
  <si>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</si>
  <si>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</si>
  <si>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</si>
  <si>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</si>
  <si>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</si>
  <si>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</si>
  <si>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</si>
  <si>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</si>
  <si>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</si>
  <si>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</si>
  <si>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</si>
  <si>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</si>
  <si>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</si>
  <si>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</si>
  <si>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</si>
  <si>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</si>
  <si>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</si>
  <si>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</si>
  <si>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</si>
  <si>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</si>
  <si>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</si>
  <si>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</si>
  <si>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</si>
  <si>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</si>
  <si>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</si>
  <si>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</si>
  <si>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</si>
  <si>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</si>
  <si>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</si>
  <si>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</si>
  <si>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</si>
  <si>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</si>
  <si>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</si>
  <si>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</si>
  <si>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</si>
  <si>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</si>
  <si>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</si>
  <si>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</si>
  <si>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</si>
  <si>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</si>
  <si>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</si>
  <si>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</si>
  <si>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</si>
  <si>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</si>
  <si>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</si>
  <si>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</si>
  <si>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</si>
  <si>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</si>
  <si>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</si>
  <si>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</si>
  <si>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</si>
  <si>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</si>
  <si>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</si>
  <si>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</si>
  <si>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</si>
  <si>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</si>
  <si>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</si>
  <si>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</si>
  <si>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</si>
  <si>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</si>
  <si>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</si>
  <si>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</si>
  <si>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</si>
  <si>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</si>
  <si>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</si>
  <si>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</si>
  <si>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</si>
  <si>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</si>
  <si>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</si>
  <si>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</si>
  <si>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</si>
  <si>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</si>
  <si>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</si>
  <si>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</si>
  <si>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</si>
  <si>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</si>
  <si>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</si>
  <si>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</si>
  <si>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</si>
  <si>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</si>
  <si>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</si>
  <si>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</si>
  <si>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</si>
  <si>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</si>
  <si>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</si>
  <si>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</si>
  <si>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</si>
  <si>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</si>
  <si>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</si>
  <si>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</si>
  <si>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</si>
  <si>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</si>
  <si>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</si>
  <si>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</si>
  <si>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</si>
  <si>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</si>
  <si>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</si>
  <si>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</si>
  <si>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</si>
  <si>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</si>
  <si>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</si>
  <si>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</si>
  <si>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</si>
  <si>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</si>
  <si>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</si>
  <si>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</si>
  <si>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</si>
  <si>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</si>
  <si>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</si>
  <si>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</si>
  <si>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</si>
  <si>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</si>
  <si>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</si>
  <si>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</si>
  <si>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</si>
  <si>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</si>
  <si>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</si>
  <si>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</si>
  <si>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</si>
  <si>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</si>
  <si>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</si>
  <si>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</si>
  <si>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</si>
  <si>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</si>
  <si>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</si>
  <si>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</si>
  <si>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</si>
  <si>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</si>
  <si>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</si>
  <si>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</si>
  <si>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</si>
  <si>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</si>
  <si>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</si>
  <si>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</si>
  <si>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</si>
  <si>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</si>
  <si>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</si>
  <si>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</si>
  <si>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</si>
  <si>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</si>
  <si>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</si>
  <si>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</si>
  <si>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</si>
  <si>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</si>
  <si>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</si>
  <si>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</si>
  <si>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</si>
  <si>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</si>
  <si>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</si>
  <si>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</si>
  <si>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</si>
  <si>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</si>
  <si>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</si>
  <si>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</si>
  <si>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</si>
  <si>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</si>
  <si>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</si>
  <si>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</si>
  <si>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</si>
  <si>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</si>
  <si>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</si>
  <si>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</si>
  <si>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</si>
  <si>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</si>
  <si>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</si>
  <si>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</si>
  <si>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</si>
  <si>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</si>
  <si>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</si>
  <si>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</si>
  <si>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</si>
  <si>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</si>
  <si>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</si>
  <si>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</si>
  <si>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</si>
  <si>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</si>
  <si>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</si>
  <si>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</si>
  <si>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</si>
  <si>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</si>
  <si>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</si>
  <si>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</si>
  <si>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</si>
  <si>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</si>
  <si>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</si>
  <si>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</si>
  <si>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</si>
  <si>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</si>
  <si>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</si>
  <si>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</si>
  <si>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</si>
  <si>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</si>
  <si>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</si>
  <si>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</si>
  <si>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</si>
  <si>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</si>
  <si>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</si>
  <si>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</si>
  <si>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</si>
  <si>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</si>
  <si>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</si>
  <si>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</si>
  <si>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</si>
  <si>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</si>
  <si>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</si>
  <si>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</si>
  <si>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</si>
  <si>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</si>
  <si>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</si>
  <si>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</si>
  <si>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</si>
  <si>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</si>
  <si>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</si>
  <si>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</si>
  <si>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</si>
  <si>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</si>
  <si>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</si>
  <si>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</si>
  <si>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</si>
  <si>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</si>
  <si>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</si>
  <si>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</si>
  <si>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</si>
  <si>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</si>
  <si>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</si>
  <si>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</si>
  <si>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</si>
  <si>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</si>
  <si>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</si>
  <si>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</si>
  <si>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</si>
  <si>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</si>
  <si>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</si>
  <si>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</si>
  <si>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</si>
  <si>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</si>
  <si>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</si>
  <si>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</si>
  <si>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</si>
  <si>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</si>
  <si>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</si>
  <si>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</si>
  <si>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</si>
  <si>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</si>
  <si>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</si>
  <si>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</si>
  <si>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</si>
  <si>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</si>
  <si>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</si>
  <si>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</si>
  <si>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</si>
  <si>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</si>
  <si>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</si>
  <si>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</si>
  <si>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</si>
  <si>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</si>
  <si>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</si>
  <si>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</si>
  <si>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</si>
  <si>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</si>
  <si>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</si>
  <si>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</si>
  <si>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</si>
  <si>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</si>
  <si>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</si>
  <si>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</si>
  <si>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</si>
  <si>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</si>
  <si>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</si>
  <si>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</si>
  <si>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</si>
  <si>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</si>
  <si>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</si>
  <si>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</si>
  <si>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</si>
  <si>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</si>
  <si>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</si>
  <si>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</si>
  <si>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</si>
  <si>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</si>
  <si>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</si>
  <si>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</si>
  <si>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</si>
  <si>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</si>
  <si>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</si>
  <si>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</si>
  <si>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</si>
  <si>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</si>
  <si>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</si>
  <si>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</si>
  <si>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</si>
  <si>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</si>
  <si>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</si>
  <si>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</si>
  <si>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</si>
  <si>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</si>
  <si>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</si>
  <si>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</si>
  <si>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</si>
  <si>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</si>
  <si>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</si>
  <si>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</si>
  <si>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</si>
  <si>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</si>
  <si>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</si>
  <si>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</si>
  <si>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</si>
  <si>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</si>
  <si>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</si>
  <si>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</si>
  <si>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</si>
  <si>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</si>
  <si>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</si>
  <si>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</si>
  <si>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</si>
  <si>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</si>
  <si>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</si>
  <si>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</si>
  <si>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</si>
  <si>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</si>
  <si>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</si>
  <si>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</si>
  <si>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</si>
  <si>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</si>
  <si>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</si>
  <si>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</si>
  <si>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</si>
  <si>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</si>
  <si>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</si>
  <si>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</si>
  <si>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</si>
  <si>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</si>
  <si>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</si>
  <si>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</si>
  <si>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</si>
  <si>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</si>
  <si>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</si>
  <si>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</si>
  <si>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</si>
  <si>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</si>
  <si>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</si>
  <si>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</si>
  <si>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</si>
  <si>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</si>
  <si>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</si>
  <si>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</si>
  <si>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</si>
  <si>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</si>
  <si>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</si>
  <si>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</si>
  <si>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</si>
  <si>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</si>
  <si>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</si>
  <si>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</si>
  <si>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</si>
  <si>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</si>
  <si>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</si>
  <si>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</si>
  <si>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</si>
  <si>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</si>
  <si>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</si>
  <si>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</si>
  <si>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</si>
  <si>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</si>
  <si>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</si>
  <si>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</si>
  <si>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</si>
  <si>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</si>
  <si>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</si>
  <si>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</si>
  <si>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</si>
  <si>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</si>
  <si>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</si>
  <si>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</si>
  <si>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</si>
  <si>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</si>
  <si>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</si>
  <si>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</si>
  <si>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</si>
  <si>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</si>
  <si>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</si>
  <si>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</si>
  <si>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</si>
  <si>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</si>
  <si>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</si>
  <si>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</si>
  <si>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</si>
  <si>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</si>
  <si>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</si>
  <si>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</si>
  <si>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</si>
  <si>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</si>
  <si>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</si>
  <si>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</si>
  <si>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</si>
  <si>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</si>
  <si>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</si>
  <si>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</si>
  <si>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</si>
  <si>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</si>
  <si>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</si>
  <si>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</si>
  <si>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</si>
  <si>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</si>
  <si>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</si>
  <si>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</si>
  <si>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</si>
  <si>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</si>
  <si>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</si>
  <si>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</si>
  <si>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</si>
  <si>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</si>
  <si>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</si>
  <si>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</si>
  <si>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</si>
  <si>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</si>
  <si>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</si>
  <si>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</si>
  <si>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</si>
  <si>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</si>
  <si>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</si>
  <si>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</si>
  <si>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</si>
  <si>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</si>
  <si>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</si>
  <si>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</si>
  <si>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</si>
  <si>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</si>
  <si>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</si>
  <si>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</si>
  <si>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</si>
  <si>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</si>
  <si>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</si>
  <si>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</si>
  <si>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</si>
  <si>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</si>
  <si>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</si>
  <si>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</si>
  <si>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</si>
  <si>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</si>
  <si>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</si>
  <si>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</si>
  <si>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</si>
  <si>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</si>
  <si>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</si>
  <si>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</si>
  <si>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</si>
  <si>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</si>
  <si>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</si>
  <si>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</si>
  <si>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</si>
  <si>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</si>
  <si>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</si>
  <si>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</si>
  <si>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</si>
  <si>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</si>
  <si>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</si>
  <si>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</si>
  <si>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</si>
  <si>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</si>
  <si>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</si>
  <si>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</si>
  <si>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</si>
  <si>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</si>
  <si>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</si>
  <si>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</si>
  <si>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</si>
  <si>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</si>
  <si>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</si>
  <si>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</si>
  <si>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</si>
  <si>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</si>
  <si>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</si>
  <si>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</si>
  <si>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</si>
  <si>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</si>
  <si>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</si>
  <si>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</si>
  <si>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</si>
  <si>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</si>
  <si>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</si>
  <si>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</si>
  <si>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</si>
  <si>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</si>
  <si>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</si>
  <si>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</si>
  <si>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</si>
  <si>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</si>
  <si>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</si>
  <si>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</si>
  <si>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</si>
  <si>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</si>
  <si>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</si>
  <si>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</si>
  <si>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</si>
  <si>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</si>
  <si>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</si>
  <si>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</si>
  <si>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</si>
  <si>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</si>
  <si>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</si>
  <si>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</si>
  <si>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</si>
  <si>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</si>
  <si>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</si>
  <si>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</si>
  <si>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</si>
  <si>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</si>
  <si>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</si>
  <si>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</si>
  <si>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</si>
  <si>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</si>
  <si>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</si>
  <si>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</si>
  <si>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</si>
  <si>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</si>
  <si>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</si>
  <si>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</si>
  <si>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</si>
  <si>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</si>
  <si>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</si>
  <si>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</si>
  <si>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</si>
  <si>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</si>
  <si>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</si>
  <si>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</si>
  <si>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</si>
  <si>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</si>
  <si>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</si>
  <si>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</si>
  <si>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</si>
  <si>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</si>
  <si>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</si>
  <si>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</si>
  <si>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</si>
  <si>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</si>
  <si>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</si>
  <si>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</si>
  <si>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</si>
  <si>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</si>
  <si>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</si>
  <si>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</si>
  <si>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</si>
  <si>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</si>
  <si>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</si>
  <si>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</si>
  <si>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</si>
  <si>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</si>
  <si>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</si>
  <si>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</si>
  <si>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</si>
  <si>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</si>
  <si>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</si>
  <si>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</si>
  <si>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</si>
  <si>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</si>
  <si>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</si>
  <si>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</si>
  <si>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</si>
  <si>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</si>
  <si>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</si>
  <si>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</si>
  <si>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</si>
  <si>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</si>
  <si>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</si>
  <si>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</si>
  <si>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</si>
  <si>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</si>
  <si>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</si>
  <si>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</si>
  <si>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</si>
  <si>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</si>
  <si>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</si>
  <si>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</si>
  <si>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</si>
  <si>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</si>
  <si>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</si>
  <si>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</si>
  <si>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</si>
  <si>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</si>
  <si>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</si>
  <si>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</si>
  <si>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</si>
  <si>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</si>
  <si>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</si>
  <si>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</si>
  <si>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</si>
  <si>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</si>
  <si>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</si>
  <si>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</si>
  <si>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13019</t>
  </si>
  <si>
    <t>LILLE</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</si>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</sst>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151899.1414874224</c:v>
                </c:pt>
                <c:pt idx="1">
                  <c:v>39160.501878971969</c:v>
                </c:pt>
                <c:pt idx="2">
                  <c:v>908.68100000000004</c:v>
                </c:pt>
                <c:pt idx="3">
                  <c:v>9814.9594248477824</c:v>
                </c:pt>
                <c:pt idx="4">
                  <c:v>10427.544968720336</c:v>
                </c:pt>
                <c:pt idx="5">
                  <c:v>261960.58503104988</c:v>
                </c:pt>
                <c:pt idx="6">
                  <c:v>1672.9374996869749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09664"/>
        <c:axId val="183011200"/>
      </c:barChart>
      <c:catAx>
        <c:axId val="183009664"/>
        <c:scaling>
          <c:orientation val="minMax"/>
        </c:scaling>
        <c:axPos val="b"/>
        <c:numFmt formatCode="General" sourceLinked="0"/>
        <c:tickLblPos val="nextTo"/>
        <c:crossAx val="183011200"/>
        <c:crosses val="autoZero"/>
        <c:auto val="1"/>
        <c:lblAlgn val="ctr"/>
        <c:lblOffset val="100"/>
      </c:catAx>
      <c:valAx>
        <c:axId val="183011200"/>
        <c:scaling>
          <c:orientation val="minMax"/>
        </c:scaling>
        <c:axPos val="l"/>
        <c:majorGridlines/>
        <c:numFmt formatCode="#,##0" sourceLinked="1"/>
        <c:tickLblPos val="nextTo"/>
        <c:crossAx val="1830096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151899.1414874224</c:v>
                </c:pt>
                <c:pt idx="1">
                  <c:v>39160.501878971969</c:v>
                </c:pt>
                <c:pt idx="2">
                  <c:v>908.68100000000004</c:v>
                </c:pt>
                <c:pt idx="3">
                  <c:v>9814.9594248477824</c:v>
                </c:pt>
                <c:pt idx="4">
                  <c:v>10427.544968720336</c:v>
                </c:pt>
                <c:pt idx="5">
                  <c:v>261960.58503104988</c:v>
                </c:pt>
                <c:pt idx="6">
                  <c:v>1672.9374996869749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24452.013112658369</c:v>
                </c:pt>
                <c:pt idx="1">
                  <c:v>7840.6134148668343</c:v>
                </c:pt>
                <c:pt idx="2">
                  <c:v>177.99451173107605</c:v>
                </c:pt>
                <c:pt idx="3">
                  <c:v>2396.4589296255904</c:v>
                </c:pt>
                <c:pt idx="4">
                  <c:v>1982.466746913092</c:v>
                </c:pt>
                <c:pt idx="5">
                  <c:v>67236.028127289363</c:v>
                </c:pt>
                <c:pt idx="6">
                  <c:v>433.23629187105433</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64608"/>
        <c:axId val="183513856"/>
      </c:barChart>
      <c:catAx>
        <c:axId val="183364608"/>
        <c:scaling>
          <c:orientation val="minMax"/>
        </c:scaling>
        <c:axPos val="b"/>
        <c:numFmt formatCode="General" sourceLinked="0"/>
        <c:tickLblPos val="nextTo"/>
        <c:crossAx val="183513856"/>
        <c:crosses val="autoZero"/>
        <c:auto val="1"/>
        <c:lblAlgn val="ctr"/>
        <c:lblOffset val="100"/>
      </c:catAx>
      <c:valAx>
        <c:axId val="183513856"/>
        <c:scaling>
          <c:orientation val="minMax"/>
        </c:scaling>
        <c:axPos val="l"/>
        <c:majorGridlines/>
        <c:numFmt formatCode="#,##0" sourceLinked="1"/>
        <c:tickLblPos val="nextTo"/>
        <c:crossAx val="1833646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24452.013112658369</c:v>
                </c:pt>
                <c:pt idx="1">
                  <c:v>7840.6134148668343</c:v>
                </c:pt>
                <c:pt idx="2">
                  <c:v>177.99451173107605</c:v>
                </c:pt>
                <c:pt idx="3">
                  <c:v>2396.4589296255904</c:v>
                </c:pt>
                <c:pt idx="4">
                  <c:v>1982.466746913092</c:v>
                </c:pt>
                <c:pt idx="5">
                  <c:v>67236.028127289363</c:v>
                </c:pt>
                <c:pt idx="6">
                  <c:v>433.23629187105433</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13019</v>
      </c>
      <c r="B6" s="415"/>
      <c r="C6" s="416"/>
    </row>
    <row r="7" spans="1:7" s="413" customFormat="1" ht="15.75" customHeight="1">
      <c r="A7" s="417" t="str">
        <f>txtMunicipality</f>
        <v>LILLE</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16967.184379364004</v>
      </c>
      <c r="D10" s="718">
        <f ca="1">tertiair!C16</f>
        <v>0</v>
      </c>
      <c r="E10" s="718">
        <f ca="1">tertiair!D16</f>
        <v>17437.433639275321</v>
      </c>
      <c r="F10" s="718">
        <f>tertiair!E16</f>
        <v>364.41664051719289</v>
      </c>
      <c r="G10" s="718">
        <f ca="1">tertiair!F16</f>
        <v>4082.2205505666416</v>
      </c>
      <c r="H10" s="718">
        <f>tertiair!G16</f>
        <v>0</v>
      </c>
      <c r="I10" s="718">
        <f>tertiair!H16</f>
        <v>0</v>
      </c>
      <c r="J10" s="718">
        <f>tertiair!I16</f>
        <v>0</v>
      </c>
      <c r="K10" s="718">
        <f>tertiair!J16</f>
        <v>0</v>
      </c>
      <c r="L10" s="718">
        <f>tertiair!K16</f>
        <v>0</v>
      </c>
      <c r="M10" s="718">
        <f ca="1">tertiair!L16</f>
        <v>0</v>
      </c>
      <c r="N10" s="718">
        <f>tertiair!M16</f>
        <v>0</v>
      </c>
      <c r="O10" s="718">
        <f ca="1">tertiair!N16</f>
        <v>1189.4810025821505</v>
      </c>
      <c r="P10" s="718">
        <f>tertiair!O16</f>
        <v>9.3800000000000008</v>
      </c>
      <c r="Q10" s="719">
        <f>tertiair!P16</f>
        <v>19.066666666666666</v>
      </c>
      <c r="R10" s="721">
        <f ca="1">SUM(C10:Q10)</f>
        <v>40069.182878971973</v>
      </c>
      <c r="S10" s="67"/>
    </row>
    <row r="11" spans="1:19" s="474" customFormat="1">
      <c r="A11" s="870" t="s">
        <v>225</v>
      </c>
      <c r="B11" s="875"/>
      <c r="C11" s="718">
        <f>huishoudens!B8</f>
        <v>29519.646707824482</v>
      </c>
      <c r="D11" s="718">
        <f>huishoudens!C8</f>
        <v>0</v>
      </c>
      <c r="E11" s="718">
        <f>huishoudens!D8</f>
        <v>60451.863190862008</v>
      </c>
      <c r="F11" s="718">
        <f>huishoudens!E8</f>
        <v>9419.8939968158065</v>
      </c>
      <c r="G11" s="718">
        <f>huishoudens!F8</f>
        <v>15002.069595397874</v>
      </c>
      <c r="H11" s="718">
        <f>huishoudens!G8</f>
        <v>0</v>
      </c>
      <c r="I11" s="718">
        <f>huishoudens!H8</f>
        <v>0</v>
      </c>
      <c r="J11" s="718">
        <f>huishoudens!I8</f>
        <v>0</v>
      </c>
      <c r="K11" s="718">
        <f>huishoudens!J8</f>
        <v>888.396449470466</v>
      </c>
      <c r="L11" s="718">
        <f>huishoudens!K8</f>
        <v>0</v>
      </c>
      <c r="M11" s="718">
        <f>huishoudens!L8</f>
        <v>0</v>
      </c>
      <c r="N11" s="718">
        <f>huishoudens!M8</f>
        <v>0</v>
      </c>
      <c r="O11" s="718">
        <f>huishoudens!N8</f>
        <v>34932.418213718411</v>
      </c>
      <c r="P11" s="718">
        <f>huishoudens!O8</f>
        <v>350.18666666666672</v>
      </c>
      <c r="Q11" s="719">
        <f>huishoudens!P8</f>
        <v>1334.6666666666667</v>
      </c>
      <c r="R11" s="721">
        <f>SUM(C11:Q11)</f>
        <v>151899.1414874224</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4158.185726062</v>
      </c>
      <c r="D13" s="718">
        <f>industrie!C18</f>
        <v>0</v>
      </c>
      <c r="E13" s="718">
        <f>industrie!D18</f>
        <v>2351.3572134670198</v>
      </c>
      <c r="F13" s="718">
        <f>industrie!E18</f>
        <v>577.14189780143977</v>
      </c>
      <c r="G13" s="718">
        <f>industrie!F18</f>
        <v>2075.1656709577474</v>
      </c>
      <c r="H13" s="718">
        <f>industrie!G18</f>
        <v>0</v>
      </c>
      <c r="I13" s="718">
        <f>industrie!H18</f>
        <v>0</v>
      </c>
      <c r="J13" s="718">
        <f>industrie!I18</f>
        <v>0</v>
      </c>
      <c r="K13" s="718">
        <f>industrie!J18</f>
        <v>22.308526181993081</v>
      </c>
      <c r="L13" s="718">
        <f>industrie!K18</f>
        <v>0</v>
      </c>
      <c r="M13" s="718">
        <f>industrie!L18</f>
        <v>0</v>
      </c>
      <c r="N13" s="718">
        <f>industrie!M18</f>
        <v>0</v>
      </c>
      <c r="O13" s="718">
        <f>industrie!N18</f>
        <v>1243.385934250136</v>
      </c>
      <c r="P13" s="718">
        <f>industrie!O18</f>
        <v>0</v>
      </c>
      <c r="Q13" s="719">
        <f>industrie!P18</f>
        <v>0</v>
      </c>
      <c r="R13" s="721">
        <f>SUM(C13:Q13)</f>
        <v>10427.544968720336</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50645.016813250491</v>
      </c>
      <c r="D15" s="723">
        <f t="shared" ref="D15:Q15" ca="1" si="0">SUM(D9:D14)</f>
        <v>0</v>
      </c>
      <c r="E15" s="723">
        <f t="shared" ca="1" si="0"/>
        <v>80240.654043604358</v>
      </c>
      <c r="F15" s="723">
        <f t="shared" si="0"/>
        <v>10361.452535134438</v>
      </c>
      <c r="G15" s="723">
        <f t="shared" ca="1" si="0"/>
        <v>21159.455816922262</v>
      </c>
      <c r="H15" s="723">
        <f t="shared" si="0"/>
        <v>0</v>
      </c>
      <c r="I15" s="723">
        <f t="shared" si="0"/>
        <v>0</v>
      </c>
      <c r="J15" s="723">
        <f t="shared" si="0"/>
        <v>0</v>
      </c>
      <c r="K15" s="723">
        <f t="shared" si="0"/>
        <v>910.7049756524591</v>
      </c>
      <c r="L15" s="723">
        <f t="shared" si="0"/>
        <v>0</v>
      </c>
      <c r="M15" s="723">
        <f t="shared" ca="1" si="0"/>
        <v>0</v>
      </c>
      <c r="N15" s="723">
        <f t="shared" si="0"/>
        <v>0</v>
      </c>
      <c r="O15" s="723">
        <f t="shared" ca="1" si="0"/>
        <v>37365.285150550699</v>
      </c>
      <c r="P15" s="723">
        <f t="shared" si="0"/>
        <v>359.56666666666672</v>
      </c>
      <c r="Q15" s="724">
        <f t="shared" si="0"/>
        <v>1353.7333333333333</v>
      </c>
      <c r="R15" s="725">
        <f ca="1">SUM(R9:R14)</f>
        <v>202395.86933511472</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1622.6078347230498</v>
      </c>
      <c r="I18" s="718">
        <f>transport!H54</f>
        <v>0</v>
      </c>
      <c r="J18" s="718">
        <f>transport!I54</f>
        <v>0</v>
      </c>
      <c r="K18" s="718">
        <f>transport!J54</f>
        <v>0</v>
      </c>
      <c r="L18" s="718">
        <f>transport!K54</f>
        <v>0</v>
      </c>
      <c r="M18" s="718">
        <f>transport!L54</f>
        <v>0</v>
      </c>
      <c r="N18" s="718">
        <f>transport!M54</f>
        <v>50.329664963925104</v>
      </c>
      <c r="O18" s="718">
        <f>transport!N54</f>
        <v>0</v>
      </c>
      <c r="P18" s="718">
        <f>transport!O54</f>
        <v>0</v>
      </c>
      <c r="Q18" s="719">
        <f>transport!P54</f>
        <v>0</v>
      </c>
      <c r="R18" s="721">
        <f>SUM(C18:Q18)</f>
        <v>1672.9374996869749</v>
      </c>
      <c r="S18" s="67"/>
    </row>
    <row r="19" spans="1:19" s="474" customFormat="1" ht="15" thickBot="1">
      <c r="A19" s="870" t="s">
        <v>307</v>
      </c>
      <c r="B19" s="875"/>
      <c r="C19" s="727">
        <f>transport!B14</f>
        <v>52.863814177676623</v>
      </c>
      <c r="D19" s="727">
        <f>transport!C14</f>
        <v>0</v>
      </c>
      <c r="E19" s="727">
        <f>transport!D14</f>
        <v>111.64487686305935</v>
      </c>
      <c r="F19" s="727">
        <f>transport!E14</f>
        <v>505.05820585870379</v>
      </c>
      <c r="G19" s="727">
        <f>transport!F14</f>
        <v>0</v>
      </c>
      <c r="H19" s="727">
        <f>transport!G14</f>
        <v>222362.22942253758</v>
      </c>
      <c r="I19" s="727">
        <f>transport!H14</f>
        <v>30995.009272432791</v>
      </c>
      <c r="J19" s="727">
        <f>transport!I14</f>
        <v>0</v>
      </c>
      <c r="K19" s="727">
        <f>transport!J14</f>
        <v>0</v>
      </c>
      <c r="L19" s="727">
        <f>transport!K14</f>
        <v>0</v>
      </c>
      <c r="M19" s="727">
        <f>transport!L14</f>
        <v>0</v>
      </c>
      <c r="N19" s="727">
        <f>transport!M14</f>
        <v>7933.7794391800589</v>
      </c>
      <c r="O19" s="727">
        <f>transport!N14</f>
        <v>0</v>
      </c>
      <c r="P19" s="727">
        <f>transport!O14</f>
        <v>0</v>
      </c>
      <c r="Q19" s="728">
        <f>transport!P14</f>
        <v>0</v>
      </c>
      <c r="R19" s="729">
        <f>SUM(C19:Q19)</f>
        <v>261960.58503104988</v>
      </c>
      <c r="S19" s="67"/>
    </row>
    <row r="20" spans="1:19" s="474" customFormat="1" ht="15.75" thickBot="1">
      <c r="A20" s="730" t="s">
        <v>230</v>
      </c>
      <c r="B20" s="878"/>
      <c r="C20" s="873">
        <f>SUM(C17:C19)</f>
        <v>52.863814177676623</v>
      </c>
      <c r="D20" s="731">
        <f t="shared" ref="D20:R20" si="1">SUM(D17:D19)</f>
        <v>0</v>
      </c>
      <c r="E20" s="731">
        <f t="shared" si="1"/>
        <v>111.64487686305935</v>
      </c>
      <c r="F20" s="731">
        <f t="shared" si="1"/>
        <v>505.05820585870379</v>
      </c>
      <c r="G20" s="731">
        <f t="shared" si="1"/>
        <v>0</v>
      </c>
      <c r="H20" s="731">
        <f t="shared" si="1"/>
        <v>223984.83725726063</v>
      </c>
      <c r="I20" s="731">
        <f t="shared" si="1"/>
        <v>30995.009272432791</v>
      </c>
      <c r="J20" s="731">
        <f t="shared" si="1"/>
        <v>0</v>
      </c>
      <c r="K20" s="731">
        <f t="shared" si="1"/>
        <v>0</v>
      </c>
      <c r="L20" s="731">
        <f t="shared" si="1"/>
        <v>0</v>
      </c>
      <c r="M20" s="731">
        <f t="shared" si="1"/>
        <v>0</v>
      </c>
      <c r="N20" s="731">
        <f t="shared" si="1"/>
        <v>7984.109104143984</v>
      </c>
      <c r="O20" s="731">
        <f t="shared" si="1"/>
        <v>0</v>
      </c>
      <c r="P20" s="731">
        <f t="shared" si="1"/>
        <v>0</v>
      </c>
      <c r="Q20" s="732">
        <f t="shared" si="1"/>
        <v>0</v>
      </c>
      <c r="R20" s="733">
        <f t="shared" si="1"/>
        <v>263633.52253073687</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1629.3010157299998</v>
      </c>
      <c r="D22" s="727">
        <f>+landbouw!C8</f>
        <v>0</v>
      </c>
      <c r="E22" s="727">
        <f>+landbouw!D8</f>
        <v>1953.6800841885361</v>
      </c>
      <c r="F22" s="727">
        <f>+landbouw!E8</f>
        <v>42.01341740303824</v>
      </c>
      <c r="G22" s="727">
        <f>+landbouw!F8</f>
        <v>5955.4054977988235</v>
      </c>
      <c r="H22" s="727">
        <f>+landbouw!G8</f>
        <v>0</v>
      </c>
      <c r="I22" s="727">
        <f>+landbouw!H8</f>
        <v>0</v>
      </c>
      <c r="J22" s="727">
        <f>+landbouw!I8</f>
        <v>0</v>
      </c>
      <c r="K22" s="727">
        <f>+landbouw!J8</f>
        <v>234.55940972738387</v>
      </c>
      <c r="L22" s="727">
        <f>+landbouw!K8</f>
        <v>0</v>
      </c>
      <c r="M22" s="727">
        <f>+landbouw!L8</f>
        <v>0</v>
      </c>
      <c r="N22" s="727">
        <f>+landbouw!M8</f>
        <v>0</v>
      </c>
      <c r="O22" s="727">
        <f>+landbouw!N8</f>
        <v>0</v>
      </c>
      <c r="P22" s="727">
        <f>+landbouw!O8</f>
        <v>0</v>
      </c>
      <c r="Q22" s="728">
        <f>+landbouw!P8</f>
        <v>0</v>
      </c>
      <c r="R22" s="729">
        <f>SUM(C22:Q22)</f>
        <v>9814.9594248477824</v>
      </c>
      <c r="S22" s="67"/>
    </row>
    <row r="23" spans="1:19" s="474" customFormat="1" ht="17.25" thickTop="1" thickBot="1">
      <c r="A23" s="734" t="s">
        <v>116</v>
      </c>
      <c r="B23" s="864"/>
      <c r="C23" s="735">
        <f ca="1">C20+C15+C22</f>
        <v>52327.181643158168</v>
      </c>
      <c r="D23" s="735">
        <f t="shared" ref="D23:Q23" ca="1" si="2">D20+D15+D22</f>
        <v>0</v>
      </c>
      <c r="E23" s="735">
        <f t="shared" ca="1" si="2"/>
        <v>82305.979004655965</v>
      </c>
      <c r="F23" s="735">
        <f t="shared" si="2"/>
        <v>10908.524158396182</v>
      </c>
      <c r="G23" s="735">
        <f t="shared" ca="1" si="2"/>
        <v>27114.861314721085</v>
      </c>
      <c r="H23" s="735">
        <f t="shared" si="2"/>
        <v>223984.83725726063</v>
      </c>
      <c r="I23" s="735">
        <f t="shared" si="2"/>
        <v>30995.009272432791</v>
      </c>
      <c r="J23" s="735">
        <f t="shared" si="2"/>
        <v>0</v>
      </c>
      <c r="K23" s="735">
        <f t="shared" si="2"/>
        <v>1145.2643853798429</v>
      </c>
      <c r="L23" s="735">
        <f t="shared" si="2"/>
        <v>0</v>
      </c>
      <c r="M23" s="735">
        <f t="shared" ca="1" si="2"/>
        <v>0</v>
      </c>
      <c r="N23" s="735">
        <f t="shared" si="2"/>
        <v>7984.109104143984</v>
      </c>
      <c r="O23" s="735">
        <f t="shared" ca="1" si="2"/>
        <v>37365.285150550699</v>
      </c>
      <c r="P23" s="735">
        <f t="shared" si="2"/>
        <v>359.56666666666672</v>
      </c>
      <c r="Q23" s="736">
        <f t="shared" si="2"/>
        <v>1353.7333333333333</v>
      </c>
      <c r="R23" s="737">
        <f ca="1">R20+R15+R22</f>
        <v>475844.35129069939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3323.5708670655995</v>
      </c>
      <c r="D36" s="718">
        <f ca="1">tertiair!C20</f>
        <v>0</v>
      </c>
      <c r="E36" s="718">
        <f ca="1">tertiair!D20</f>
        <v>3522.3615951336151</v>
      </c>
      <c r="F36" s="718">
        <f>tertiair!E20</f>
        <v>82.722577397402787</v>
      </c>
      <c r="G36" s="718">
        <f ca="1">tertiair!F20</f>
        <v>1089.9528870012934</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8018.6079265979106</v>
      </c>
    </row>
    <row r="37" spans="1:18">
      <c r="A37" s="885" t="s">
        <v>225</v>
      </c>
      <c r="B37" s="892"/>
      <c r="C37" s="718">
        <f ca="1">huishoudens!B12</f>
        <v>5782.3758857432749</v>
      </c>
      <c r="D37" s="718">
        <f ca="1">huishoudens!C12</f>
        <v>0</v>
      </c>
      <c r="E37" s="718">
        <f>huishoudens!D12</f>
        <v>12211.276364554127</v>
      </c>
      <c r="F37" s="718">
        <f>huishoudens!E12</f>
        <v>2138.3159372771884</v>
      </c>
      <c r="G37" s="718">
        <f>huishoudens!F12</f>
        <v>4005.5525819712325</v>
      </c>
      <c r="H37" s="718">
        <f>huishoudens!G12</f>
        <v>0</v>
      </c>
      <c r="I37" s="718">
        <f>huishoudens!H12</f>
        <v>0</v>
      </c>
      <c r="J37" s="718">
        <f>huishoudens!I12</f>
        <v>0</v>
      </c>
      <c r="K37" s="718">
        <f>huishoudens!J12</f>
        <v>314.49234311254497</v>
      </c>
      <c r="L37" s="718">
        <f>huishoudens!K12</f>
        <v>0</v>
      </c>
      <c r="M37" s="718">
        <f>huishoudens!L12</f>
        <v>0</v>
      </c>
      <c r="N37" s="718">
        <f>huishoudens!M12</f>
        <v>0</v>
      </c>
      <c r="O37" s="718">
        <f>huishoudens!N12</f>
        <v>0</v>
      </c>
      <c r="P37" s="718">
        <f>huishoudens!O12</f>
        <v>0</v>
      </c>
      <c r="Q37" s="828">
        <f>huishoudens!P12</f>
        <v>0</v>
      </c>
      <c r="R37" s="917">
        <f ca="1">SUM(C37:Q37)</f>
        <v>24452.013112658369</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814.51492657768301</v>
      </c>
      <c r="D39" s="718">
        <f ca="1">industrie!C22</f>
        <v>0</v>
      </c>
      <c r="E39" s="718">
        <f>industrie!D22</f>
        <v>474.97415712033802</v>
      </c>
      <c r="F39" s="718">
        <f>industrie!E22</f>
        <v>131.01121080092682</v>
      </c>
      <c r="G39" s="718">
        <f>industrie!F22</f>
        <v>554.06923414571861</v>
      </c>
      <c r="H39" s="718">
        <f>industrie!G22</f>
        <v>0</v>
      </c>
      <c r="I39" s="718">
        <f>industrie!H22</f>
        <v>0</v>
      </c>
      <c r="J39" s="718">
        <f>industrie!I22</f>
        <v>0</v>
      </c>
      <c r="K39" s="718">
        <f>industrie!J22</f>
        <v>7.8972182684255499</v>
      </c>
      <c r="L39" s="718">
        <f>industrie!K22</f>
        <v>0</v>
      </c>
      <c r="M39" s="718">
        <f>industrie!L22</f>
        <v>0</v>
      </c>
      <c r="N39" s="718">
        <f>industrie!M22</f>
        <v>0</v>
      </c>
      <c r="O39" s="718">
        <f>industrie!N22</f>
        <v>0</v>
      </c>
      <c r="P39" s="718">
        <f>industrie!O22</f>
        <v>0</v>
      </c>
      <c r="Q39" s="828">
        <f>industrie!P22</f>
        <v>0</v>
      </c>
      <c r="R39" s="918">
        <f ca="1">SUM(C39:Q39)</f>
        <v>1982.466746913092</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9920.4616793865589</v>
      </c>
      <c r="D41" s="763">
        <f t="shared" ref="D41:R41" ca="1" si="4">SUM(D35:D40)</f>
        <v>0</v>
      </c>
      <c r="E41" s="763">
        <f t="shared" ca="1" si="4"/>
        <v>16208.612116808079</v>
      </c>
      <c r="F41" s="763">
        <f t="shared" si="4"/>
        <v>2352.0497254755178</v>
      </c>
      <c r="G41" s="763">
        <f t="shared" ca="1" si="4"/>
        <v>5649.5747031182445</v>
      </c>
      <c r="H41" s="763">
        <f t="shared" si="4"/>
        <v>0</v>
      </c>
      <c r="I41" s="763">
        <f t="shared" si="4"/>
        <v>0</v>
      </c>
      <c r="J41" s="763">
        <f t="shared" si="4"/>
        <v>0</v>
      </c>
      <c r="K41" s="763">
        <f t="shared" si="4"/>
        <v>322.38956138097052</v>
      </c>
      <c r="L41" s="763">
        <f t="shared" si="4"/>
        <v>0</v>
      </c>
      <c r="M41" s="763">
        <f t="shared" ca="1" si="4"/>
        <v>0</v>
      </c>
      <c r="N41" s="763">
        <f t="shared" si="4"/>
        <v>0</v>
      </c>
      <c r="O41" s="763">
        <f t="shared" ca="1" si="4"/>
        <v>0</v>
      </c>
      <c r="P41" s="763">
        <f t="shared" si="4"/>
        <v>0</v>
      </c>
      <c r="Q41" s="764">
        <f t="shared" si="4"/>
        <v>0</v>
      </c>
      <c r="R41" s="765">
        <f t="shared" ca="1" si="4"/>
        <v>34453.087786169373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433.23629187105433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433.23629187105433</v>
      </c>
    </row>
    <row r="45" spans="1:18" ht="15" thickBot="1">
      <c r="A45" s="888" t="s">
        <v>307</v>
      </c>
      <c r="B45" s="898"/>
      <c r="C45" s="727">
        <f ca="1">transport!B18</f>
        <v>10.355084779804887</v>
      </c>
      <c r="D45" s="727">
        <f>transport!C18</f>
        <v>0</v>
      </c>
      <c r="E45" s="727">
        <f>transport!D18</f>
        <v>22.552265126337989</v>
      </c>
      <c r="F45" s="727">
        <f>transport!E18</f>
        <v>114.64821272992576</v>
      </c>
      <c r="G45" s="727">
        <f>transport!F18</f>
        <v>0</v>
      </c>
      <c r="H45" s="727">
        <f>transport!G18</f>
        <v>59370.715255817537</v>
      </c>
      <c r="I45" s="727">
        <f>transport!H18</f>
        <v>7717.7573088357649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67236.028127289363</v>
      </c>
    </row>
    <row r="46" spans="1:18" ht="15.75" thickBot="1">
      <c r="A46" s="886" t="s">
        <v>230</v>
      </c>
      <c r="B46" s="899"/>
      <c r="C46" s="763">
        <f t="shared" ref="C46:R46" ca="1" si="5">SUM(C43:C45)</f>
        <v>10.355084779804887</v>
      </c>
      <c r="D46" s="763">
        <f t="shared" ca="1" si="5"/>
        <v>0</v>
      </c>
      <c r="E46" s="763">
        <f t="shared" si="5"/>
        <v>22.552265126337989</v>
      </c>
      <c r="F46" s="763">
        <f t="shared" si="5"/>
        <v>114.64821272992576</v>
      </c>
      <c r="G46" s="763">
        <f t="shared" si="5"/>
        <v>0</v>
      </c>
      <c r="H46" s="763">
        <f t="shared" si="5"/>
        <v>59803.951547688594</v>
      </c>
      <c r="I46" s="763">
        <f t="shared" si="5"/>
        <v>7717.7573088357649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67669.264419160419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319.15120791323636</v>
      </c>
      <c r="D48" s="718">
        <f ca="1">+landbouw!C12</f>
        <v>0</v>
      </c>
      <c r="E48" s="718">
        <f>+landbouw!D12</f>
        <v>394.64337700608434</v>
      </c>
      <c r="F48" s="718">
        <f>+landbouw!E12</f>
        <v>9.5370457504896802</v>
      </c>
      <c r="G48" s="718">
        <f>+landbouw!F12</f>
        <v>1590.0932679122859</v>
      </c>
      <c r="H48" s="718">
        <f>+landbouw!G12</f>
        <v>0</v>
      </c>
      <c r="I48" s="718">
        <f>+landbouw!H12</f>
        <v>0</v>
      </c>
      <c r="J48" s="718">
        <f>+landbouw!I12</f>
        <v>0</v>
      </c>
      <c r="K48" s="718">
        <f>+landbouw!J12</f>
        <v>83.034031043493883</v>
      </c>
      <c r="L48" s="718">
        <f>+landbouw!K12</f>
        <v>0</v>
      </c>
      <c r="M48" s="718">
        <f>+landbouw!L12</f>
        <v>0</v>
      </c>
      <c r="N48" s="718">
        <f>+landbouw!M12</f>
        <v>0</v>
      </c>
      <c r="O48" s="718">
        <f>+landbouw!N12</f>
        <v>0</v>
      </c>
      <c r="P48" s="718">
        <f>+landbouw!O12</f>
        <v>0</v>
      </c>
      <c r="Q48" s="719">
        <f>+landbouw!P12</f>
        <v>0</v>
      </c>
      <c r="R48" s="761">
        <f ca="1">SUM(C48:Q48)</f>
        <v>2396.4589296255904</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10249.967972079601</v>
      </c>
      <c r="D53" s="773">
        <f t="shared" ref="D53:Q53" ca="1" si="6">D41+D46+D48</f>
        <v>0</v>
      </c>
      <c r="E53" s="773">
        <f t="shared" ca="1" si="6"/>
        <v>16625.8077589405</v>
      </c>
      <c r="F53" s="773">
        <f t="shared" si="6"/>
        <v>2476.2349839559333</v>
      </c>
      <c r="G53" s="773">
        <f t="shared" ca="1" si="6"/>
        <v>7239.6679710305307</v>
      </c>
      <c r="H53" s="773">
        <f t="shared" si="6"/>
        <v>59803.951547688594</v>
      </c>
      <c r="I53" s="773">
        <f t="shared" si="6"/>
        <v>7717.7573088357649</v>
      </c>
      <c r="J53" s="773">
        <f t="shared" si="6"/>
        <v>0</v>
      </c>
      <c r="K53" s="773">
        <f t="shared" si="6"/>
        <v>405.4235924244644</v>
      </c>
      <c r="L53" s="773">
        <f t="shared" si="6"/>
        <v>0</v>
      </c>
      <c r="M53" s="773">
        <f t="shared" ca="1" si="6"/>
        <v>0</v>
      </c>
      <c r="N53" s="773">
        <f t="shared" si="6"/>
        <v>0</v>
      </c>
      <c r="O53" s="773">
        <f t="shared" ca="1" si="6"/>
        <v>0</v>
      </c>
      <c r="P53" s="773">
        <f>P41+P46+P48</f>
        <v>0</v>
      </c>
      <c r="Q53" s="774">
        <f t="shared" si="6"/>
        <v>0</v>
      </c>
      <c r="R53" s="775">
        <f ca="1">R41+R46+R48</f>
        <v>104518.81113495538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0.19588228622704343</v>
      </c>
      <c r="D55" s="836">
        <f t="shared" ca="1" si="7"/>
        <v>0</v>
      </c>
      <c r="E55" s="836">
        <f t="shared" ca="1" si="7"/>
        <v>0.20199999999999993</v>
      </c>
      <c r="F55" s="836">
        <f t="shared" si="7"/>
        <v>0.22700000000000001</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5947.2360681373593</v>
      </c>
      <c r="C66" s="795">
        <f>'lokale energieproductie'!B6</f>
        <v>5947.2360681373593</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5947.2360681373593</v>
      </c>
      <c r="C69" s="803">
        <f>SUM(C64:C68)</f>
        <v>5947.2360681373593</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29519.646707824482</v>
      </c>
      <c r="C4" s="478">
        <f>huishoudens!C8</f>
        <v>0</v>
      </c>
      <c r="D4" s="478">
        <f>huishoudens!D8</f>
        <v>60451.863190862008</v>
      </c>
      <c r="E4" s="478">
        <f>huishoudens!E8</f>
        <v>9419.8939968158065</v>
      </c>
      <c r="F4" s="478">
        <f>huishoudens!F8</f>
        <v>15002.069595397874</v>
      </c>
      <c r="G4" s="478">
        <f>huishoudens!G8</f>
        <v>0</v>
      </c>
      <c r="H4" s="478">
        <f>huishoudens!H8</f>
        <v>0</v>
      </c>
      <c r="I4" s="478">
        <f>huishoudens!I8</f>
        <v>0</v>
      </c>
      <c r="J4" s="478">
        <f>huishoudens!J8</f>
        <v>888.396449470466</v>
      </c>
      <c r="K4" s="478">
        <f>huishoudens!K8</f>
        <v>0</v>
      </c>
      <c r="L4" s="478">
        <f>huishoudens!L8</f>
        <v>0</v>
      </c>
      <c r="M4" s="478">
        <f>huishoudens!M8</f>
        <v>0</v>
      </c>
      <c r="N4" s="478">
        <f>huishoudens!N8</f>
        <v>34932.418213718411</v>
      </c>
      <c r="O4" s="478">
        <f>huishoudens!O8</f>
        <v>350.18666666666672</v>
      </c>
      <c r="P4" s="479">
        <f>huishoudens!P8</f>
        <v>1334.6666666666667</v>
      </c>
      <c r="Q4" s="480">
        <f>SUM(B4:P4)</f>
        <v>151899.1414874224</v>
      </c>
    </row>
    <row r="5" spans="1:17">
      <c r="A5" s="477" t="s">
        <v>156</v>
      </c>
      <c r="B5" s="478">
        <f ca="1">tertiair!B16</f>
        <v>16058.503379364003</v>
      </c>
      <c r="C5" s="478">
        <f ca="1">tertiair!C16</f>
        <v>0</v>
      </c>
      <c r="D5" s="478">
        <f ca="1">tertiair!D16</f>
        <v>17437.433639275321</v>
      </c>
      <c r="E5" s="478">
        <f>tertiair!E16</f>
        <v>364.41664051719289</v>
      </c>
      <c r="F5" s="478">
        <f ca="1">tertiair!F16</f>
        <v>4082.2205505666416</v>
      </c>
      <c r="G5" s="478">
        <f>tertiair!G16</f>
        <v>0</v>
      </c>
      <c r="H5" s="478">
        <f>tertiair!H16</f>
        <v>0</v>
      </c>
      <c r="I5" s="478">
        <f>tertiair!I16</f>
        <v>0</v>
      </c>
      <c r="J5" s="478">
        <f>tertiair!J16</f>
        <v>0</v>
      </c>
      <c r="K5" s="478">
        <f>tertiair!K16</f>
        <v>0</v>
      </c>
      <c r="L5" s="478">
        <f ca="1">tertiair!L16</f>
        <v>0</v>
      </c>
      <c r="M5" s="478">
        <f>tertiair!M16</f>
        <v>0</v>
      </c>
      <c r="N5" s="478">
        <f ca="1">tertiair!N16</f>
        <v>1189.4810025821505</v>
      </c>
      <c r="O5" s="478">
        <f>tertiair!O16</f>
        <v>9.3800000000000008</v>
      </c>
      <c r="P5" s="479">
        <f>tertiair!P16</f>
        <v>19.066666666666666</v>
      </c>
      <c r="Q5" s="477">
        <f t="shared" ref="Q5:Q13" ca="1" si="0">SUM(B5:P5)</f>
        <v>39160.501878971969</v>
      </c>
    </row>
    <row r="6" spans="1:17">
      <c r="A6" s="477" t="s">
        <v>194</v>
      </c>
      <c r="B6" s="478">
        <f>'openbare verlichting'!B8</f>
        <v>908.68100000000004</v>
      </c>
      <c r="C6" s="478"/>
      <c r="D6" s="478"/>
      <c r="E6" s="478"/>
      <c r="F6" s="478"/>
      <c r="G6" s="478"/>
      <c r="H6" s="478"/>
      <c r="I6" s="478"/>
      <c r="J6" s="478"/>
      <c r="K6" s="478"/>
      <c r="L6" s="478"/>
      <c r="M6" s="478"/>
      <c r="N6" s="478"/>
      <c r="O6" s="478"/>
      <c r="P6" s="479"/>
      <c r="Q6" s="477">
        <f t="shared" si="0"/>
        <v>908.68100000000004</v>
      </c>
    </row>
    <row r="7" spans="1:17">
      <c r="A7" s="477" t="s">
        <v>112</v>
      </c>
      <c r="B7" s="478">
        <f>landbouw!B8</f>
        <v>1629.3010157299998</v>
      </c>
      <c r="C7" s="478">
        <f>landbouw!C8</f>
        <v>0</v>
      </c>
      <c r="D7" s="478">
        <f>landbouw!D8</f>
        <v>1953.6800841885361</v>
      </c>
      <c r="E7" s="478">
        <f>landbouw!E8</f>
        <v>42.01341740303824</v>
      </c>
      <c r="F7" s="478">
        <f>landbouw!F8</f>
        <v>5955.4054977988235</v>
      </c>
      <c r="G7" s="478">
        <f>landbouw!G8</f>
        <v>0</v>
      </c>
      <c r="H7" s="478">
        <f>landbouw!H8</f>
        <v>0</v>
      </c>
      <c r="I7" s="478">
        <f>landbouw!I8</f>
        <v>0</v>
      </c>
      <c r="J7" s="478">
        <f>landbouw!J8</f>
        <v>234.55940972738387</v>
      </c>
      <c r="K7" s="478">
        <f>landbouw!K8</f>
        <v>0</v>
      </c>
      <c r="L7" s="478">
        <f>landbouw!L8</f>
        <v>0</v>
      </c>
      <c r="M7" s="478">
        <f>landbouw!M8</f>
        <v>0</v>
      </c>
      <c r="N7" s="478">
        <f>landbouw!N8</f>
        <v>0</v>
      </c>
      <c r="O7" s="478">
        <f>landbouw!O8</f>
        <v>0</v>
      </c>
      <c r="P7" s="479">
        <f>landbouw!P8</f>
        <v>0</v>
      </c>
      <c r="Q7" s="477">
        <f t="shared" si="0"/>
        <v>9814.9594248477824</v>
      </c>
    </row>
    <row r="8" spans="1:17">
      <c r="A8" s="477" t="s">
        <v>638</v>
      </c>
      <c r="B8" s="478">
        <f>industrie!B18</f>
        <v>4158.185726062</v>
      </c>
      <c r="C8" s="478">
        <f>industrie!C18</f>
        <v>0</v>
      </c>
      <c r="D8" s="478">
        <f>industrie!D18</f>
        <v>2351.3572134670198</v>
      </c>
      <c r="E8" s="478">
        <f>industrie!E18</f>
        <v>577.14189780143977</v>
      </c>
      <c r="F8" s="478">
        <f>industrie!F18</f>
        <v>2075.1656709577474</v>
      </c>
      <c r="G8" s="478">
        <f>industrie!G18</f>
        <v>0</v>
      </c>
      <c r="H8" s="478">
        <f>industrie!H18</f>
        <v>0</v>
      </c>
      <c r="I8" s="478">
        <f>industrie!I18</f>
        <v>0</v>
      </c>
      <c r="J8" s="478">
        <f>industrie!J18</f>
        <v>22.308526181993081</v>
      </c>
      <c r="K8" s="478">
        <f>industrie!K18</f>
        <v>0</v>
      </c>
      <c r="L8" s="478">
        <f>industrie!L18</f>
        <v>0</v>
      </c>
      <c r="M8" s="478">
        <f>industrie!M18</f>
        <v>0</v>
      </c>
      <c r="N8" s="478">
        <f>industrie!N18</f>
        <v>1243.385934250136</v>
      </c>
      <c r="O8" s="478">
        <f>industrie!O18</f>
        <v>0</v>
      </c>
      <c r="P8" s="479">
        <f>industrie!P18</f>
        <v>0</v>
      </c>
      <c r="Q8" s="477">
        <f t="shared" si="0"/>
        <v>10427.544968720336</v>
      </c>
    </row>
    <row r="9" spans="1:17" s="483" customFormat="1">
      <c r="A9" s="481" t="s">
        <v>564</v>
      </c>
      <c r="B9" s="482">
        <f>transport!B14</f>
        <v>52.863814177676623</v>
      </c>
      <c r="C9" s="482">
        <f>transport!C14</f>
        <v>0</v>
      </c>
      <c r="D9" s="482">
        <f>transport!D14</f>
        <v>111.64487686305935</v>
      </c>
      <c r="E9" s="482">
        <f>transport!E14</f>
        <v>505.05820585870379</v>
      </c>
      <c r="F9" s="482">
        <f>transport!F14</f>
        <v>0</v>
      </c>
      <c r="G9" s="482">
        <f>transport!G14</f>
        <v>222362.22942253758</v>
      </c>
      <c r="H9" s="482">
        <f>transport!H14</f>
        <v>30995.009272432791</v>
      </c>
      <c r="I9" s="482">
        <f>transport!I14</f>
        <v>0</v>
      </c>
      <c r="J9" s="482">
        <f>transport!J14</f>
        <v>0</v>
      </c>
      <c r="K9" s="482">
        <f>transport!K14</f>
        <v>0</v>
      </c>
      <c r="L9" s="482">
        <f>transport!L14</f>
        <v>0</v>
      </c>
      <c r="M9" s="482">
        <f>transport!M14</f>
        <v>7933.7794391800589</v>
      </c>
      <c r="N9" s="482">
        <f>transport!N14</f>
        <v>0</v>
      </c>
      <c r="O9" s="482">
        <f>transport!O14</f>
        <v>0</v>
      </c>
      <c r="P9" s="482">
        <f>transport!P14</f>
        <v>0</v>
      </c>
      <c r="Q9" s="481">
        <f>SUM(B9:P9)</f>
        <v>261960.58503104988</v>
      </c>
    </row>
    <row r="10" spans="1:17">
      <c r="A10" s="477" t="s">
        <v>554</v>
      </c>
      <c r="B10" s="478">
        <f>transport!B54</f>
        <v>0</v>
      </c>
      <c r="C10" s="478">
        <f>transport!C54</f>
        <v>0</v>
      </c>
      <c r="D10" s="478">
        <f>transport!D54</f>
        <v>0</v>
      </c>
      <c r="E10" s="478">
        <f>transport!E54</f>
        <v>0</v>
      </c>
      <c r="F10" s="478">
        <f>transport!F54</f>
        <v>0</v>
      </c>
      <c r="G10" s="478">
        <f>transport!G54</f>
        <v>1622.6078347230498</v>
      </c>
      <c r="H10" s="478">
        <f>transport!H54</f>
        <v>0</v>
      </c>
      <c r="I10" s="478">
        <f>transport!I54</f>
        <v>0</v>
      </c>
      <c r="J10" s="478">
        <f>transport!J54</f>
        <v>0</v>
      </c>
      <c r="K10" s="478">
        <f>transport!K54</f>
        <v>0</v>
      </c>
      <c r="L10" s="478">
        <f>transport!L54</f>
        <v>0</v>
      </c>
      <c r="M10" s="478">
        <f>transport!M54</f>
        <v>50.329664963925104</v>
      </c>
      <c r="N10" s="478">
        <f>transport!N54</f>
        <v>0</v>
      </c>
      <c r="O10" s="478">
        <f>transport!O54</f>
        <v>0</v>
      </c>
      <c r="P10" s="479">
        <f>transport!P54</f>
        <v>0</v>
      </c>
      <c r="Q10" s="477">
        <f t="shared" si="0"/>
        <v>1672.9374996869749</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52327.181643158161</v>
      </c>
      <c r="C14" s="488">
        <f t="shared" ref="C14:Q14" ca="1" si="1">SUM(C4:C13)</f>
        <v>0</v>
      </c>
      <c r="D14" s="488">
        <f t="shared" ca="1" si="1"/>
        <v>82305.979004655965</v>
      </c>
      <c r="E14" s="488">
        <f t="shared" si="1"/>
        <v>10908.524158396182</v>
      </c>
      <c r="F14" s="488">
        <f t="shared" ca="1" si="1"/>
        <v>27114.861314721085</v>
      </c>
      <c r="G14" s="488">
        <f t="shared" si="1"/>
        <v>223984.83725726063</v>
      </c>
      <c r="H14" s="488">
        <f t="shared" si="1"/>
        <v>30995.009272432791</v>
      </c>
      <c r="I14" s="488">
        <f t="shared" si="1"/>
        <v>0</v>
      </c>
      <c r="J14" s="488">
        <f t="shared" si="1"/>
        <v>1145.2643853798429</v>
      </c>
      <c r="K14" s="488">
        <f t="shared" si="1"/>
        <v>0</v>
      </c>
      <c r="L14" s="488">
        <f t="shared" ca="1" si="1"/>
        <v>0</v>
      </c>
      <c r="M14" s="488">
        <f t="shared" si="1"/>
        <v>7984.109104143984</v>
      </c>
      <c r="N14" s="488">
        <f t="shared" ca="1" si="1"/>
        <v>37365.285150550699</v>
      </c>
      <c r="O14" s="488">
        <f t="shared" si="1"/>
        <v>359.56666666666672</v>
      </c>
      <c r="P14" s="489">
        <f t="shared" si="1"/>
        <v>1353.7333333333333</v>
      </c>
      <c r="Q14" s="489">
        <f t="shared" ca="1" si="1"/>
        <v>475844.35129069933</v>
      </c>
    </row>
    <row r="16" spans="1:17">
      <c r="A16" s="491" t="s">
        <v>559</v>
      </c>
      <c r="B16" s="841">
        <f ca="1">huishoudens!B10</f>
        <v>0.1958822862270434</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5782.3758857432749</v>
      </c>
      <c r="C21" s="478">
        <f t="shared" ref="C21:C30" ca="1" si="3">C4*$C$16</f>
        <v>0</v>
      </c>
      <c r="D21" s="478">
        <f t="shared" ref="D21:D30" si="4">D4*$D$16</f>
        <v>12211.276364554127</v>
      </c>
      <c r="E21" s="478">
        <f t="shared" ref="E21:E30" si="5">E4*$E$16</f>
        <v>2138.3159372771884</v>
      </c>
      <c r="F21" s="478">
        <f t="shared" ref="F21:F30" si="6">F4*$F$16</f>
        <v>4005.5525819712325</v>
      </c>
      <c r="G21" s="478">
        <f t="shared" ref="G21:G30" si="7">G4*$G$16</f>
        <v>0</v>
      </c>
      <c r="H21" s="478">
        <f t="shared" ref="H21:H30" si="8">H4*$H$16</f>
        <v>0</v>
      </c>
      <c r="I21" s="478">
        <f t="shared" ref="I21:I30" si="9">I4*$I$16</f>
        <v>0</v>
      </c>
      <c r="J21" s="478">
        <f t="shared" ref="J21:J30" si="10">J4*$J$16</f>
        <v>314.49234311254497</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24452.013112658369</v>
      </c>
    </row>
    <row r="22" spans="1:17">
      <c r="A22" s="477" t="s">
        <v>156</v>
      </c>
      <c r="B22" s="478">
        <f t="shared" ca="1" si="2"/>
        <v>3145.5763553345232</v>
      </c>
      <c r="C22" s="478">
        <f t="shared" ca="1" si="3"/>
        <v>0</v>
      </c>
      <c r="D22" s="478">
        <f t="shared" ca="1" si="4"/>
        <v>3522.3615951336151</v>
      </c>
      <c r="E22" s="478">
        <f t="shared" si="5"/>
        <v>82.722577397402787</v>
      </c>
      <c r="F22" s="478">
        <f t="shared" ca="1" si="6"/>
        <v>1089.9528870012934</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7840.6134148668343</v>
      </c>
    </row>
    <row r="23" spans="1:17">
      <c r="A23" s="477" t="s">
        <v>194</v>
      </c>
      <c r="B23" s="478">
        <f t="shared" ca="1" si="2"/>
        <v>177.99451173107605</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177.99451173107605</v>
      </c>
    </row>
    <row r="24" spans="1:17">
      <c r="A24" s="477" t="s">
        <v>112</v>
      </c>
      <c r="B24" s="478">
        <f t="shared" ca="1" si="2"/>
        <v>319.15120791323636</v>
      </c>
      <c r="C24" s="478">
        <f t="shared" ca="1" si="3"/>
        <v>0</v>
      </c>
      <c r="D24" s="478">
        <f t="shared" si="4"/>
        <v>394.64337700608434</v>
      </c>
      <c r="E24" s="478">
        <f t="shared" si="5"/>
        <v>9.5370457504896802</v>
      </c>
      <c r="F24" s="478">
        <f t="shared" si="6"/>
        <v>1590.0932679122859</v>
      </c>
      <c r="G24" s="478">
        <f t="shared" si="7"/>
        <v>0</v>
      </c>
      <c r="H24" s="478">
        <f t="shared" si="8"/>
        <v>0</v>
      </c>
      <c r="I24" s="478">
        <f t="shared" si="9"/>
        <v>0</v>
      </c>
      <c r="J24" s="478">
        <f t="shared" si="10"/>
        <v>83.034031043493883</v>
      </c>
      <c r="K24" s="478">
        <f t="shared" si="11"/>
        <v>0</v>
      </c>
      <c r="L24" s="478">
        <f t="shared" si="12"/>
        <v>0</v>
      </c>
      <c r="M24" s="478">
        <f t="shared" si="13"/>
        <v>0</v>
      </c>
      <c r="N24" s="478">
        <f t="shared" si="14"/>
        <v>0</v>
      </c>
      <c r="O24" s="478">
        <f t="shared" si="15"/>
        <v>0</v>
      </c>
      <c r="P24" s="479">
        <f t="shared" si="16"/>
        <v>0</v>
      </c>
      <c r="Q24" s="477">
        <f t="shared" ca="1" si="17"/>
        <v>2396.4589296255904</v>
      </c>
    </row>
    <row r="25" spans="1:17">
      <c r="A25" s="477" t="s">
        <v>638</v>
      </c>
      <c r="B25" s="478">
        <f t="shared" ca="1" si="2"/>
        <v>814.51492657768301</v>
      </c>
      <c r="C25" s="478">
        <f t="shared" ca="1" si="3"/>
        <v>0</v>
      </c>
      <c r="D25" s="478">
        <f t="shared" si="4"/>
        <v>474.97415712033802</v>
      </c>
      <c r="E25" s="478">
        <f t="shared" si="5"/>
        <v>131.01121080092682</v>
      </c>
      <c r="F25" s="478">
        <f t="shared" si="6"/>
        <v>554.06923414571861</v>
      </c>
      <c r="G25" s="478">
        <f t="shared" si="7"/>
        <v>0</v>
      </c>
      <c r="H25" s="478">
        <f t="shared" si="8"/>
        <v>0</v>
      </c>
      <c r="I25" s="478">
        <f t="shared" si="9"/>
        <v>0</v>
      </c>
      <c r="J25" s="478">
        <f t="shared" si="10"/>
        <v>7.8972182684255499</v>
      </c>
      <c r="K25" s="478">
        <f t="shared" si="11"/>
        <v>0</v>
      </c>
      <c r="L25" s="478">
        <f t="shared" si="12"/>
        <v>0</v>
      </c>
      <c r="M25" s="478">
        <f t="shared" si="13"/>
        <v>0</v>
      </c>
      <c r="N25" s="478">
        <f t="shared" si="14"/>
        <v>0</v>
      </c>
      <c r="O25" s="478">
        <f t="shared" si="15"/>
        <v>0</v>
      </c>
      <c r="P25" s="479">
        <f t="shared" si="16"/>
        <v>0</v>
      </c>
      <c r="Q25" s="477">
        <f t="shared" ca="1" si="17"/>
        <v>1982.466746913092</v>
      </c>
    </row>
    <row r="26" spans="1:17" s="483" customFormat="1">
      <c r="A26" s="481" t="s">
        <v>564</v>
      </c>
      <c r="B26" s="835">
        <f t="shared" ca="1" si="2"/>
        <v>10.355084779804887</v>
      </c>
      <c r="C26" s="482">
        <f t="shared" ca="1" si="3"/>
        <v>0</v>
      </c>
      <c r="D26" s="482">
        <f t="shared" si="4"/>
        <v>22.552265126337989</v>
      </c>
      <c r="E26" s="482">
        <f t="shared" si="5"/>
        <v>114.64821272992576</v>
      </c>
      <c r="F26" s="482">
        <f t="shared" si="6"/>
        <v>0</v>
      </c>
      <c r="G26" s="482">
        <f t="shared" si="7"/>
        <v>59370.715255817537</v>
      </c>
      <c r="H26" s="482">
        <f t="shared" si="8"/>
        <v>7717.7573088357649</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67236.028127289363</v>
      </c>
    </row>
    <row r="27" spans="1:17">
      <c r="A27" s="477" t="s">
        <v>554</v>
      </c>
      <c r="B27" s="478">
        <f t="shared" ca="1" si="2"/>
        <v>0</v>
      </c>
      <c r="C27" s="478">
        <f t="shared" ca="1" si="3"/>
        <v>0</v>
      </c>
      <c r="D27" s="478">
        <f t="shared" si="4"/>
        <v>0</v>
      </c>
      <c r="E27" s="478">
        <f t="shared" si="5"/>
        <v>0</v>
      </c>
      <c r="F27" s="478">
        <f t="shared" si="6"/>
        <v>0</v>
      </c>
      <c r="G27" s="478">
        <f t="shared" si="7"/>
        <v>433.23629187105433</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433.23629187105433</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10249.967972079599</v>
      </c>
      <c r="C31" s="488">
        <f t="shared" ca="1" si="18"/>
        <v>0</v>
      </c>
      <c r="D31" s="488">
        <f t="shared" ca="1" si="18"/>
        <v>16625.807758940504</v>
      </c>
      <c r="E31" s="488">
        <f t="shared" si="18"/>
        <v>2476.2349839559333</v>
      </c>
      <c r="F31" s="488">
        <f t="shared" ca="1" si="18"/>
        <v>7239.6679710305307</v>
      </c>
      <c r="G31" s="488">
        <f t="shared" si="18"/>
        <v>59803.951547688594</v>
      </c>
      <c r="H31" s="488">
        <f t="shared" si="18"/>
        <v>7717.7573088357649</v>
      </c>
      <c r="I31" s="488">
        <f t="shared" si="18"/>
        <v>0</v>
      </c>
      <c r="J31" s="488">
        <f t="shared" si="18"/>
        <v>405.4235924244644</v>
      </c>
      <c r="K31" s="488">
        <f t="shared" si="18"/>
        <v>0</v>
      </c>
      <c r="L31" s="488">
        <f t="shared" ca="1" si="18"/>
        <v>0</v>
      </c>
      <c r="M31" s="488">
        <f t="shared" si="18"/>
        <v>0</v>
      </c>
      <c r="N31" s="488">
        <f t="shared" ca="1" si="18"/>
        <v>0</v>
      </c>
      <c r="O31" s="488">
        <f t="shared" si="18"/>
        <v>0</v>
      </c>
      <c r="P31" s="489">
        <f t="shared" si="18"/>
        <v>0</v>
      </c>
      <c r="Q31" s="489">
        <f t="shared" ca="1" si="18"/>
        <v>104518.81113495538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0.1958822862270434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0.1958822862270434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0.1958822862270434</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13019</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6590</v>
      </c>
      <c r="C9" s="342">
        <v>6987</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2433.11</v>
      </c>
    </row>
    <row r="15" spans="1:6">
      <c r="A15" s="348" t="s">
        <v>184</v>
      </c>
      <c r="B15" s="334">
        <v>531</v>
      </c>
    </row>
    <row r="16" spans="1:6">
      <c r="A16" s="348" t="s">
        <v>6</v>
      </c>
      <c r="B16" s="334">
        <v>1324</v>
      </c>
    </row>
    <row r="17" spans="1:6">
      <c r="A17" s="348" t="s">
        <v>7</v>
      </c>
      <c r="B17" s="334">
        <v>321</v>
      </c>
    </row>
    <row r="18" spans="1:6">
      <c r="A18" s="348" t="s">
        <v>8</v>
      </c>
      <c r="B18" s="334">
        <v>1042</v>
      </c>
    </row>
    <row r="19" spans="1:6">
      <c r="A19" s="348" t="s">
        <v>9</v>
      </c>
      <c r="B19" s="334">
        <v>821</v>
      </c>
    </row>
    <row r="20" spans="1:6">
      <c r="A20" s="348" t="s">
        <v>10</v>
      </c>
      <c r="B20" s="334">
        <v>374</v>
      </c>
    </row>
    <row r="21" spans="1:6">
      <c r="A21" s="348" t="s">
        <v>11</v>
      </c>
      <c r="B21" s="334">
        <v>12485</v>
      </c>
    </row>
    <row r="22" spans="1:6">
      <c r="A22" s="348" t="s">
        <v>12</v>
      </c>
      <c r="B22" s="334">
        <v>20219</v>
      </c>
    </row>
    <row r="23" spans="1:6">
      <c r="A23" s="348" t="s">
        <v>13</v>
      </c>
      <c r="B23" s="334">
        <v>280</v>
      </c>
    </row>
    <row r="24" spans="1:6">
      <c r="A24" s="348" t="s">
        <v>14</v>
      </c>
      <c r="B24" s="334">
        <v>5</v>
      </c>
    </row>
    <row r="25" spans="1:6">
      <c r="A25" s="348" t="s">
        <v>15</v>
      </c>
      <c r="B25" s="334">
        <v>1297</v>
      </c>
    </row>
    <row r="26" spans="1:6">
      <c r="A26" s="348" t="s">
        <v>16</v>
      </c>
      <c r="B26" s="334">
        <v>36</v>
      </c>
    </row>
    <row r="27" spans="1:6">
      <c r="A27" s="348" t="s">
        <v>17</v>
      </c>
      <c r="B27" s="334">
        <v>5</v>
      </c>
    </row>
    <row r="28" spans="1:6" s="356" customFormat="1">
      <c r="A28" s="355" t="s">
        <v>18</v>
      </c>
      <c r="B28" s="355">
        <v>333462</v>
      </c>
    </row>
    <row r="29" spans="1:6">
      <c r="A29" s="355" t="s">
        <v>812</v>
      </c>
      <c r="B29" s="355">
        <v>92</v>
      </c>
      <c r="C29" s="356"/>
      <c r="D29" s="356"/>
      <c r="E29" s="356"/>
      <c r="F29" s="356"/>
    </row>
    <row r="30" spans="1:6">
      <c r="A30" s="355" t="s">
        <v>813</v>
      </c>
      <c r="B30" s="341">
        <v>19</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17785.424566999998</v>
      </c>
    </row>
    <row r="37" spans="1:6">
      <c r="A37" s="348" t="s">
        <v>25</v>
      </c>
      <c r="B37" s="348" t="s">
        <v>28</v>
      </c>
      <c r="C37" s="334">
        <v>0</v>
      </c>
      <c r="D37" s="334">
        <v>0</v>
      </c>
      <c r="E37" s="334">
        <v>0</v>
      </c>
      <c r="F37" s="334">
        <v>0</v>
      </c>
    </row>
    <row r="38" spans="1:6">
      <c r="A38" s="348" t="s">
        <v>25</v>
      </c>
      <c r="B38" s="348" t="s">
        <v>29</v>
      </c>
      <c r="C38" s="334">
        <v>0</v>
      </c>
      <c r="D38" s="334">
        <v>0</v>
      </c>
      <c r="E38" s="334">
        <v>1</v>
      </c>
      <c r="F38" s="334">
        <v>232.20168028000001</v>
      </c>
    </row>
    <row r="39" spans="1:6">
      <c r="A39" s="348" t="s">
        <v>30</v>
      </c>
      <c r="B39" s="348" t="s">
        <v>31</v>
      </c>
      <c r="C39" s="334">
        <v>4034</v>
      </c>
      <c r="D39" s="334">
        <v>67019803.980999999</v>
      </c>
      <c r="E39" s="334">
        <v>6641</v>
      </c>
      <c r="F39" s="334">
        <v>24820672.806000002</v>
      </c>
    </row>
    <row r="40" spans="1:6">
      <c r="A40" s="348" t="s">
        <v>30</v>
      </c>
      <c r="B40" s="348" t="s">
        <v>29</v>
      </c>
      <c r="C40" s="334">
        <v>0</v>
      </c>
      <c r="D40" s="334">
        <v>0</v>
      </c>
      <c r="E40" s="334">
        <v>0</v>
      </c>
      <c r="F40" s="334">
        <v>2542</v>
      </c>
    </row>
    <row r="41" spans="1:6">
      <c r="A41" s="348" t="s">
        <v>32</v>
      </c>
      <c r="B41" s="348" t="s">
        <v>33</v>
      </c>
      <c r="C41" s="334">
        <v>88</v>
      </c>
      <c r="D41" s="334">
        <v>1683761.4979999999</v>
      </c>
      <c r="E41" s="334">
        <v>196</v>
      </c>
      <c r="F41" s="334">
        <v>1820320.8015999999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8</v>
      </c>
      <c r="F44" s="334">
        <v>74491.425692000004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6</v>
      </c>
      <c r="D47" s="334">
        <v>101274.47007</v>
      </c>
      <c r="E47" s="334">
        <v>6</v>
      </c>
      <c r="F47" s="334">
        <v>103991.18819</v>
      </c>
    </row>
    <row r="48" spans="1:6">
      <c r="A48" s="348" t="s">
        <v>32</v>
      </c>
      <c r="B48" s="348" t="s">
        <v>29</v>
      </c>
      <c r="C48" s="334">
        <v>17</v>
      </c>
      <c r="D48" s="334">
        <v>481970.90412999998</v>
      </c>
      <c r="E48" s="334">
        <v>32</v>
      </c>
      <c r="F48" s="334">
        <v>1893014.4025000001</v>
      </c>
    </row>
    <row r="49" spans="1:6">
      <c r="A49" s="348" t="s">
        <v>32</v>
      </c>
      <c r="B49" s="348" t="s">
        <v>40</v>
      </c>
      <c r="C49" s="334">
        <v>0</v>
      </c>
      <c r="D49" s="334">
        <v>0</v>
      </c>
      <c r="E49" s="334">
        <v>0</v>
      </c>
      <c r="F49" s="334">
        <v>0</v>
      </c>
    </row>
    <row r="50" spans="1:6">
      <c r="A50" s="348" t="s">
        <v>32</v>
      </c>
      <c r="B50" s="348" t="s">
        <v>41</v>
      </c>
      <c r="C50" s="334">
        <v>6</v>
      </c>
      <c r="D50" s="334">
        <v>339819.30680999998</v>
      </c>
      <c r="E50" s="334">
        <v>12</v>
      </c>
      <c r="F50" s="334">
        <v>266367.90808000002</v>
      </c>
    </row>
    <row r="51" spans="1:6">
      <c r="A51" s="348" t="s">
        <v>42</v>
      </c>
      <c r="B51" s="348" t="s">
        <v>43</v>
      </c>
      <c r="C51" s="334">
        <v>3</v>
      </c>
      <c r="D51" s="334">
        <v>67960.655438000002</v>
      </c>
      <c r="E51" s="334">
        <v>83</v>
      </c>
      <c r="F51" s="334">
        <v>1412782.2697999999</v>
      </c>
    </row>
    <row r="52" spans="1:6">
      <c r="A52" s="348" t="s">
        <v>42</v>
      </c>
      <c r="B52" s="348" t="s">
        <v>29</v>
      </c>
      <c r="C52" s="334">
        <v>8</v>
      </c>
      <c r="D52" s="334">
        <v>360235.08782999997</v>
      </c>
      <c r="E52" s="334">
        <v>8</v>
      </c>
      <c r="F52" s="334">
        <v>216518.74593</v>
      </c>
    </row>
    <row r="53" spans="1:6">
      <c r="A53" s="348" t="s">
        <v>44</v>
      </c>
      <c r="B53" s="348" t="s">
        <v>45</v>
      </c>
      <c r="C53" s="334">
        <v>107</v>
      </c>
      <c r="D53" s="334">
        <v>1737746.7004</v>
      </c>
      <c r="E53" s="334">
        <v>302</v>
      </c>
      <c r="F53" s="334">
        <v>922335.42047999997</v>
      </c>
    </row>
    <row r="54" spans="1:6">
      <c r="A54" s="348" t="s">
        <v>46</v>
      </c>
      <c r="B54" s="348" t="s">
        <v>47</v>
      </c>
      <c r="C54" s="334">
        <v>0</v>
      </c>
      <c r="D54" s="334">
        <v>0</v>
      </c>
      <c r="E54" s="334">
        <v>1</v>
      </c>
      <c r="F54" s="334">
        <v>908681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20</v>
      </c>
      <c r="D57" s="334">
        <v>499370.50662</v>
      </c>
      <c r="E57" s="334">
        <v>58</v>
      </c>
      <c r="F57" s="334">
        <v>890338.27714999998</v>
      </c>
    </row>
    <row r="58" spans="1:6">
      <c r="A58" s="348" t="s">
        <v>49</v>
      </c>
      <c r="B58" s="348" t="s">
        <v>51</v>
      </c>
      <c r="C58" s="334">
        <v>18</v>
      </c>
      <c r="D58" s="334">
        <v>359118.06453999999</v>
      </c>
      <c r="E58" s="334">
        <v>30</v>
      </c>
      <c r="F58" s="334">
        <v>221065.63052000001</v>
      </c>
    </row>
    <row r="59" spans="1:6">
      <c r="A59" s="348" t="s">
        <v>49</v>
      </c>
      <c r="B59" s="348" t="s">
        <v>52</v>
      </c>
      <c r="C59" s="334">
        <v>79</v>
      </c>
      <c r="D59" s="334">
        <v>3189100.7403000002</v>
      </c>
      <c r="E59" s="334">
        <v>197</v>
      </c>
      <c r="F59" s="334">
        <v>5670236.4561000001</v>
      </c>
    </row>
    <row r="60" spans="1:6">
      <c r="A60" s="348" t="s">
        <v>49</v>
      </c>
      <c r="B60" s="348" t="s">
        <v>53</v>
      </c>
      <c r="C60" s="334">
        <v>52</v>
      </c>
      <c r="D60" s="334">
        <v>2846316.8015000001</v>
      </c>
      <c r="E60" s="334">
        <v>72</v>
      </c>
      <c r="F60" s="334">
        <v>1937738.5978999999</v>
      </c>
    </row>
    <row r="61" spans="1:6">
      <c r="A61" s="348" t="s">
        <v>49</v>
      </c>
      <c r="B61" s="348" t="s">
        <v>54</v>
      </c>
      <c r="C61" s="334">
        <v>108</v>
      </c>
      <c r="D61" s="334">
        <v>2393997.7037</v>
      </c>
      <c r="E61" s="334">
        <v>200</v>
      </c>
      <c r="F61" s="334">
        <v>1902158.0660000001</v>
      </c>
    </row>
    <row r="62" spans="1:6">
      <c r="A62" s="348" t="s">
        <v>49</v>
      </c>
      <c r="B62" s="348" t="s">
        <v>55</v>
      </c>
      <c r="C62" s="334">
        <v>0</v>
      </c>
      <c r="D62" s="334">
        <v>0</v>
      </c>
      <c r="E62" s="334">
        <v>6</v>
      </c>
      <c r="F62" s="334">
        <v>42082.313993999996</v>
      </c>
    </row>
    <row r="63" spans="1:6">
      <c r="A63" s="348" t="s">
        <v>49</v>
      </c>
      <c r="B63" s="348" t="s">
        <v>29</v>
      </c>
      <c r="C63" s="334">
        <v>75</v>
      </c>
      <c r="D63" s="334">
        <v>10044062.524</v>
      </c>
      <c r="E63" s="334">
        <v>84</v>
      </c>
      <c r="F63" s="334">
        <v>5394884.0377000002</v>
      </c>
    </row>
    <row r="64" spans="1:6">
      <c r="A64" s="348" t="s">
        <v>56</v>
      </c>
      <c r="B64" s="348" t="s">
        <v>57</v>
      </c>
      <c r="C64" s="334">
        <v>0</v>
      </c>
      <c r="D64" s="334">
        <v>0</v>
      </c>
      <c r="E64" s="334">
        <v>0</v>
      </c>
      <c r="F64" s="334">
        <v>0</v>
      </c>
    </row>
    <row r="65" spans="1:6">
      <c r="A65" s="348" t="s">
        <v>56</v>
      </c>
      <c r="B65" s="348" t="s">
        <v>29</v>
      </c>
      <c r="C65" s="334">
        <v>0</v>
      </c>
      <c r="D65" s="334">
        <v>0</v>
      </c>
      <c r="E65" s="334">
        <v>2</v>
      </c>
      <c r="F65" s="334">
        <v>2514.1242103</v>
      </c>
    </row>
    <row r="66" spans="1:6">
      <c r="A66" s="348" t="s">
        <v>56</v>
      </c>
      <c r="B66" s="348" t="s">
        <v>58</v>
      </c>
      <c r="C66" s="334">
        <v>0</v>
      </c>
      <c r="D66" s="334">
        <v>0</v>
      </c>
      <c r="E66" s="334">
        <v>12</v>
      </c>
      <c r="F66" s="334">
        <v>299535.87867000001</v>
      </c>
    </row>
    <row r="67" spans="1:6">
      <c r="A67" s="355" t="s">
        <v>56</v>
      </c>
      <c r="B67" s="355" t="s">
        <v>59</v>
      </c>
      <c r="C67" s="334">
        <v>0</v>
      </c>
      <c r="D67" s="334">
        <v>0</v>
      </c>
      <c r="E67" s="334">
        <v>0</v>
      </c>
      <c r="F67" s="334">
        <v>0</v>
      </c>
    </row>
    <row r="68" spans="1:6">
      <c r="A68" s="341" t="s">
        <v>56</v>
      </c>
      <c r="B68" s="341" t="s">
        <v>60</v>
      </c>
      <c r="C68" s="334">
        <v>0</v>
      </c>
      <c r="D68" s="334">
        <v>0</v>
      </c>
      <c r="E68" s="334">
        <v>7</v>
      </c>
      <c r="F68" s="334">
        <v>63338.798109000003</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71789723</v>
      </c>
      <c r="E73" s="476">
        <v>73778966.423861399</v>
      </c>
    </row>
    <row r="74" spans="1:6">
      <c r="A74" s="348" t="s">
        <v>64</v>
      </c>
      <c r="B74" s="348" t="s">
        <v>667</v>
      </c>
      <c r="C74" s="1212" t="s">
        <v>669</v>
      </c>
      <c r="D74" s="476">
        <v>7421650.8974440517</v>
      </c>
      <c r="E74" s="476">
        <v>7625827.6075620083</v>
      </c>
    </row>
    <row r="75" spans="1:6">
      <c r="A75" s="348" t="s">
        <v>65</v>
      </c>
      <c r="B75" s="348" t="s">
        <v>666</v>
      </c>
      <c r="C75" s="1212" t="s">
        <v>670</v>
      </c>
      <c r="D75" s="476">
        <v>9640327</v>
      </c>
      <c r="E75" s="476">
        <v>9899671.0887996349</v>
      </c>
    </row>
    <row r="76" spans="1:6">
      <c r="A76" s="348" t="s">
        <v>65</v>
      </c>
      <c r="B76" s="348" t="s">
        <v>667</v>
      </c>
      <c r="C76" s="1212" t="s">
        <v>671</v>
      </c>
      <c r="D76" s="476">
        <v>390613.89744405146</v>
      </c>
      <c r="E76" s="476">
        <v>405698.41234054905</v>
      </c>
    </row>
    <row r="77" spans="1:6">
      <c r="A77" s="348" t="s">
        <v>66</v>
      </c>
      <c r="B77" s="348" t="s">
        <v>666</v>
      </c>
      <c r="C77" s="1212" t="s">
        <v>672</v>
      </c>
      <c r="D77" s="476">
        <v>144160491</v>
      </c>
      <c r="E77" s="476">
        <v>142914904.88490054</v>
      </c>
    </row>
    <row r="78" spans="1:6">
      <c r="A78" s="341" t="s">
        <v>66</v>
      </c>
      <c r="B78" s="341" t="s">
        <v>667</v>
      </c>
      <c r="C78" s="341" t="s">
        <v>673</v>
      </c>
      <c r="D78" s="1213">
        <v>35472169</v>
      </c>
      <c r="E78" s="1213">
        <v>35117757.383974388</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449328.20511189703</v>
      </c>
      <c r="C83" s="476">
        <v>449328.20511189703</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4696.4319018244805</v>
      </c>
    </row>
    <row r="92" spans="1:6">
      <c r="A92" s="341" t="s">
        <v>69</v>
      </c>
      <c r="B92" s="342">
        <v>1250.8041663128786</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2301</v>
      </c>
    </row>
    <row r="98" spans="1:6">
      <c r="A98" s="348" t="s">
        <v>72</v>
      </c>
      <c r="B98" s="334">
        <v>11</v>
      </c>
    </row>
    <row r="99" spans="1:6">
      <c r="A99" s="348" t="s">
        <v>73</v>
      </c>
      <c r="B99" s="334">
        <v>157</v>
      </c>
    </row>
    <row r="100" spans="1:6">
      <c r="A100" s="348" t="s">
        <v>74</v>
      </c>
      <c r="B100" s="334">
        <v>332</v>
      </c>
    </row>
    <row r="101" spans="1:6">
      <c r="A101" s="348" t="s">
        <v>75</v>
      </c>
      <c r="B101" s="334">
        <v>205</v>
      </c>
    </row>
    <row r="102" spans="1:6">
      <c r="A102" s="348" t="s">
        <v>76</v>
      </c>
      <c r="B102" s="334">
        <v>64</v>
      </c>
    </row>
    <row r="103" spans="1:6">
      <c r="A103" s="348" t="s">
        <v>77</v>
      </c>
      <c r="B103" s="334">
        <v>202</v>
      </c>
    </row>
    <row r="104" spans="1:6">
      <c r="A104" s="348" t="s">
        <v>78</v>
      </c>
      <c r="B104" s="334">
        <v>2176</v>
      </c>
    </row>
    <row r="105" spans="1:6">
      <c r="A105" s="341" t="s">
        <v>79</v>
      </c>
      <c r="B105" s="341">
        <v>9</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37</v>
      </c>
      <c r="C123" s="334">
        <v>32</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190</v>
      </c>
    </row>
    <row r="130" spans="1:6">
      <c r="A130" s="348" t="s">
        <v>295</v>
      </c>
      <c r="B130" s="334">
        <v>6</v>
      </c>
    </row>
    <row r="131" spans="1:6">
      <c r="A131" s="348" t="s">
        <v>296</v>
      </c>
      <c r="B131" s="334">
        <v>1</v>
      </c>
    </row>
    <row r="132" spans="1:6">
      <c r="A132" s="341" t="s">
        <v>297</v>
      </c>
      <c r="B132" s="342">
        <v>33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52327.181643158168</v>
      </c>
      <c r="C3" s="43" t="s">
        <v>170</v>
      </c>
      <c r="D3" s="43"/>
      <c r="E3" s="154"/>
      <c r="F3" s="43"/>
      <c r="G3" s="43"/>
      <c r="H3" s="43"/>
      <c r="I3" s="43"/>
      <c r="J3" s="43"/>
      <c r="K3" s="96"/>
    </row>
    <row r="4" spans="1:11">
      <c r="A4" s="383" t="s">
        <v>171</v>
      </c>
      <c r="B4" s="49">
        <f>IF(ISERROR('SEAP template'!B69),0,'SEAP template'!B69)</f>
        <v>5947.2360681373593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0.1958822862270434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908.68100000000004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908.68100000000004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0.1958822862270434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177.99451173107605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24823.214806</v>
      </c>
      <c r="C5" s="17">
        <f>IF(ISERROR('Eigen informatie GS &amp; warmtenet'!B57),0,'Eigen informatie GS &amp; warmtenet'!B57)</f>
        <v>0</v>
      </c>
      <c r="D5" s="30">
        <f>(SUM(HH_hh_gas_kWh,HH_rest_gas_kWh)/1000)*0.902</f>
        <v>60451.863190862008</v>
      </c>
      <c r="E5" s="17">
        <f>B46*B57</f>
        <v>9419.8939968158065</v>
      </c>
      <c r="F5" s="17">
        <f>B51*B62</f>
        <v>15002.069595397874</v>
      </c>
      <c r="G5" s="18"/>
      <c r="H5" s="17"/>
      <c r="I5" s="17"/>
      <c r="J5" s="17">
        <f>B50*B61+C50*C61</f>
        <v>888.396449470466</v>
      </c>
      <c r="K5" s="17"/>
      <c r="L5" s="17"/>
      <c r="M5" s="17"/>
      <c r="N5" s="17">
        <f>B48*B59+C48*C59</f>
        <v>34932.418213718411</v>
      </c>
      <c r="O5" s="17">
        <f>B69*B70*B71</f>
        <v>350.18666666666672</v>
      </c>
      <c r="P5" s="17">
        <f>B77*B78*B79/1000-B77*B78*B79/1000/B80</f>
        <v>1334.6666666666667</v>
      </c>
    </row>
    <row r="6" spans="1:16">
      <c r="A6" s="16" t="s">
        <v>624</v>
      </c>
      <c r="B6" s="843">
        <f>kWh_PV_kleiner_dan_10kW</f>
        <v>4696.4319018244805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29519.646707824482</v>
      </c>
      <c r="C8" s="21">
        <f>C5</f>
        <v>0</v>
      </c>
      <c r="D8" s="21">
        <f>D5</f>
        <v>60451.863190862008</v>
      </c>
      <c r="E8" s="21">
        <f>E5</f>
        <v>9419.8939968158065</v>
      </c>
      <c r="F8" s="21">
        <f>F5</f>
        <v>15002.069595397874</v>
      </c>
      <c r="G8" s="21"/>
      <c r="H8" s="21"/>
      <c r="I8" s="21"/>
      <c r="J8" s="21">
        <f>J5</f>
        <v>888.396449470466</v>
      </c>
      <c r="K8" s="21"/>
      <c r="L8" s="21">
        <f>L5</f>
        <v>0</v>
      </c>
      <c r="M8" s="21">
        <f>M5</f>
        <v>0</v>
      </c>
      <c r="N8" s="21">
        <f>N5</f>
        <v>34932.418213718411</v>
      </c>
      <c r="O8" s="21">
        <f>O5</f>
        <v>350.18666666666672</v>
      </c>
      <c r="P8" s="21">
        <f>P5</f>
        <v>1334.6666666666667</v>
      </c>
    </row>
    <row r="9" spans="1:16">
      <c r="B9" s="19"/>
      <c r="C9" s="19"/>
      <c r="D9" s="258"/>
      <c r="E9" s="19"/>
      <c r="F9" s="19"/>
      <c r="G9" s="19"/>
      <c r="H9" s="19"/>
      <c r="I9" s="19"/>
      <c r="J9" s="19"/>
      <c r="K9" s="19"/>
      <c r="L9" s="19"/>
      <c r="M9" s="19"/>
      <c r="N9" s="19"/>
      <c r="O9" s="19"/>
      <c r="P9" s="19"/>
    </row>
    <row r="10" spans="1:16">
      <c r="A10" s="24" t="s">
        <v>214</v>
      </c>
      <c r="B10" s="25">
        <f ca="1">'EF ele_warmte'!B12</f>
        <v>0.1958822862270434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5782.3758857432749</v>
      </c>
      <c r="C12" s="23">
        <f ca="1">C10*C8</f>
        <v>0</v>
      </c>
      <c r="D12" s="23">
        <f>D8*D10</f>
        <v>12211.276364554127</v>
      </c>
      <c r="E12" s="23">
        <f>E10*E8</f>
        <v>2138.3159372771884</v>
      </c>
      <c r="F12" s="23">
        <f>F10*F8</f>
        <v>4005.5525819712325</v>
      </c>
      <c r="G12" s="23"/>
      <c r="H12" s="23"/>
      <c r="I12" s="23"/>
      <c r="J12" s="23">
        <f>J10*J8</f>
        <v>314.49234311254497</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2301</v>
      </c>
      <c r="C18" s="166" t="s">
        <v>111</v>
      </c>
      <c r="D18" s="228"/>
      <c r="E18" s="15"/>
    </row>
    <row r="19" spans="1:7">
      <c r="A19" s="171" t="s">
        <v>72</v>
      </c>
      <c r="B19" s="37">
        <f>aantalw2001_ander</f>
        <v>11</v>
      </c>
      <c r="C19" s="166" t="s">
        <v>111</v>
      </c>
      <c r="D19" s="229"/>
      <c r="E19" s="15"/>
    </row>
    <row r="20" spans="1:7">
      <c r="A20" s="171" t="s">
        <v>73</v>
      </c>
      <c r="B20" s="37">
        <f>aantalw2001_propaan</f>
        <v>157</v>
      </c>
      <c r="C20" s="167">
        <f>IF(ISERROR(B20/SUM($B$20,$B$21,$B$22)*100),0,B20/SUM($B$20,$B$21,$B$22)*100)</f>
        <v>22.622478386167145</v>
      </c>
      <c r="D20" s="229"/>
      <c r="E20" s="15"/>
    </row>
    <row r="21" spans="1:7">
      <c r="A21" s="171" t="s">
        <v>74</v>
      </c>
      <c r="B21" s="37">
        <f>aantalw2001_elektriciteit</f>
        <v>332</v>
      </c>
      <c r="C21" s="167">
        <f>IF(ISERROR(B21/SUM($B$20,$B$21,$B$22)*100),0,B21/SUM($B$20,$B$21,$B$22)*100)</f>
        <v>47.838616714697409</v>
      </c>
      <c r="D21" s="229"/>
      <c r="E21" s="15"/>
    </row>
    <row r="22" spans="1:7">
      <c r="A22" s="171" t="s">
        <v>75</v>
      </c>
      <c r="B22" s="37">
        <f>aantalw2001_hout</f>
        <v>205</v>
      </c>
      <c r="C22" s="167">
        <f>IF(ISERROR(B22/SUM($B$20,$B$21,$B$22)*100),0,B22/SUM($B$20,$B$21,$B$22)*100)</f>
        <v>29.538904899135449</v>
      </c>
      <c r="D22" s="229"/>
      <c r="E22" s="15"/>
    </row>
    <row r="23" spans="1:7">
      <c r="A23" s="171" t="s">
        <v>76</v>
      </c>
      <c r="B23" s="37">
        <f>aantalw2001_niet_gespec</f>
        <v>64</v>
      </c>
      <c r="C23" s="166" t="s">
        <v>111</v>
      </c>
      <c r="D23" s="228"/>
      <c r="E23" s="15"/>
    </row>
    <row r="24" spans="1:7">
      <c r="A24" s="171" t="s">
        <v>77</v>
      </c>
      <c r="B24" s="37">
        <f>aantalw2001_steenkool</f>
        <v>202</v>
      </c>
      <c r="C24" s="166" t="s">
        <v>111</v>
      </c>
      <c r="D24" s="229"/>
      <c r="E24" s="15"/>
    </row>
    <row r="25" spans="1:7">
      <c r="A25" s="171" t="s">
        <v>78</v>
      </c>
      <c r="B25" s="37">
        <f>aantalw2001_stookolie</f>
        <v>2176</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698</v>
      </c>
      <c r="B28" s="37">
        <f>aantalHuishoudens2011</f>
        <v>6590</v>
      </c>
      <c r="C28" s="36"/>
      <c r="D28" s="228"/>
    </row>
    <row r="29" spans="1:7" s="15" customFormat="1">
      <c r="A29" s="230" t="s">
        <v>699</v>
      </c>
      <c r="B29" s="37">
        <f>SUM(HH_hh_gas_aantal,HH_rest_gas_aantal)</f>
        <v>4034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4034</v>
      </c>
      <c r="C32" s="167">
        <f>IF(ISERROR(B32/SUM($B$32,$B$34,$B$35,$B$36,$B$38,$B$39)*100),0,B32/SUM($B$32,$B$34,$B$35,$B$36,$B$38,$B$39)*100)</f>
        <v>61.871165644171775</v>
      </c>
      <c r="D32" s="233"/>
      <c r="G32" s="15"/>
    </row>
    <row r="33" spans="1:7">
      <c r="A33" s="171" t="s">
        <v>72</v>
      </c>
      <c r="B33" s="34" t="s">
        <v>111</v>
      </c>
      <c r="C33" s="167"/>
      <c r="D33" s="233"/>
      <c r="G33" s="15"/>
    </row>
    <row r="34" spans="1:7">
      <c r="A34" s="171" t="s">
        <v>73</v>
      </c>
      <c r="B34" s="33">
        <f>IF((($B$28-$B$32-$B$39-$B$77-$B$38)*C20/100)&lt;0,0,($B$28-$B$32-$B$39-$B$77-$B$38)*C20/100)</f>
        <v>416.47982708933711</v>
      </c>
      <c r="C34" s="167">
        <f>IF(ISERROR(B34/SUM($B$32,$B$34,$B$35,$B$36,$B$38,$B$39)*100),0,B34/SUM($B$32,$B$34,$B$35,$B$36,$B$38,$B$39)*100)</f>
        <v>6.3877274093456613</v>
      </c>
      <c r="D34" s="233"/>
      <c r="G34" s="15"/>
    </row>
    <row r="35" spans="1:7">
      <c r="A35" s="171" t="s">
        <v>74</v>
      </c>
      <c r="B35" s="33">
        <f>IF((($B$28-$B$32-$B$39-$B$77-$B$38)*C21/100)&lt;0,0,($B$28-$B$32-$B$39-$B$77-$B$38)*C21/100)</f>
        <v>880.70893371757938</v>
      </c>
      <c r="C35" s="167">
        <f>IF(ISERROR(B35/SUM($B$32,$B$34,$B$35,$B$36,$B$38,$B$39)*100),0,B35/SUM($B$32,$B$34,$B$35,$B$36,$B$38,$B$39)*100)</f>
        <v>13.507805731864714</v>
      </c>
      <c r="D35" s="233"/>
      <c r="G35" s="15"/>
    </row>
    <row r="36" spans="1:7">
      <c r="A36" s="171" t="s">
        <v>75</v>
      </c>
      <c r="B36" s="33">
        <f>IF((($B$28-$B$32-$B$39-$B$77-$B$38)*C22/100)&lt;0,0,($B$28-$B$32-$B$39-$B$77-$B$38)*C22/100)</f>
        <v>543.81123919308357</v>
      </c>
      <c r="C36" s="167">
        <f>IF(ISERROR(B36/SUM($B$32,$B$34,$B$35,$B$36,$B$38,$B$39)*100),0,B36/SUM($B$32,$B$34,$B$35,$B$36,$B$38,$B$39)*100)</f>
        <v>8.3406631778080307</v>
      </c>
      <c r="D36" s="233"/>
      <c r="G36" s="15"/>
    </row>
    <row r="37" spans="1:7">
      <c r="A37" s="171" t="s">
        <v>76</v>
      </c>
      <c r="B37" s="34" t="s">
        <v>111</v>
      </c>
      <c r="C37" s="167"/>
      <c r="D37" s="173"/>
      <c r="G37" s="15"/>
    </row>
    <row r="38" spans="1:7">
      <c r="A38" s="171" t="s">
        <v>77</v>
      </c>
      <c r="B38" s="33">
        <f>IF((B24-(B29-B18)*0.1)&lt;0,0,B24-(B29-B18)*0.1)</f>
        <v>28.699999999999989</v>
      </c>
      <c r="C38" s="167">
        <f>IF(ISERROR(B38/SUM($B$32,$B$34,$B$35,$B$36,$B$38,$B$39)*100),0,B38/SUM($B$32,$B$34,$B$35,$B$36,$B$38,$B$39)*100)</f>
        <v>0.44018404907975439</v>
      </c>
      <c r="D38" s="234"/>
      <c r="G38" s="15"/>
    </row>
    <row r="39" spans="1:7">
      <c r="A39" s="171" t="s">
        <v>78</v>
      </c>
      <c r="B39" s="33">
        <f>IF((B25-(B29-B18))&lt;0,0,B25-(B29-B18)*0.9)</f>
        <v>616.29999999999995</v>
      </c>
      <c r="C39" s="167">
        <f>IF(ISERROR(B39/SUM($B$32,$B$34,$B$35,$B$36,$B$38,$B$39)*100),0,B39/SUM($B$32,$B$34,$B$35,$B$36,$B$38,$B$39)*100)</f>
        <v>9.4524539877300615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4034</v>
      </c>
      <c r="C44" s="34" t="s">
        <v>111</v>
      </c>
      <c r="D44" s="174"/>
    </row>
    <row r="45" spans="1:7">
      <c r="A45" s="171" t="s">
        <v>72</v>
      </c>
      <c r="B45" s="33" t="str">
        <f t="shared" si="0"/>
        <v>-</v>
      </c>
      <c r="C45" s="34" t="s">
        <v>111</v>
      </c>
      <c r="D45" s="174"/>
    </row>
    <row r="46" spans="1:7">
      <c r="A46" s="171" t="s">
        <v>73</v>
      </c>
      <c r="B46" s="33">
        <f t="shared" si="0"/>
        <v>416.47982708933711</v>
      </c>
      <c r="C46" s="34" t="s">
        <v>111</v>
      </c>
      <c r="D46" s="174"/>
    </row>
    <row r="47" spans="1:7">
      <c r="A47" s="171" t="s">
        <v>74</v>
      </c>
      <c r="B47" s="33">
        <f t="shared" si="0"/>
        <v>880.70893371757938</v>
      </c>
      <c r="C47" s="34" t="s">
        <v>111</v>
      </c>
      <c r="D47" s="174"/>
    </row>
    <row r="48" spans="1:7">
      <c r="A48" s="171" t="s">
        <v>75</v>
      </c>
      <c r="B48" s="33">
        <f t="shared" si="0"/>
        <v>543.81123919308357</v>
      </c>
      <c r="C48" s="33">
        <f>B48*10</f>
        <v>5438.1123919308357</v>
      </c>
      <c r="D48" s="234"/>
    </row>
    <row r="49" spans="1:6">
      <c r="A49" s="171" t="s">
        <v>76</v>
      </c>
      <c r="B49" s="33" t="str">
        <f t="shared" si="0"/>
        <v>-</v>
      </c>
      <c r="C49" s="34" t="s">
        <v>111</v>
      </c>
      <c r="D49" s="234"/>
    </row>
    <row r="50" spans="1:6">
      <c r="A50" s="171" t="s">
        <v>77</v>
      </c>
      <c r="B50" s="33">
        <f t="shared" si="0"/>
        <v>28.699999999999989</v>
      </c>
      <c r="C50" s="33">
        <f>B50*2</f>
        <v>57.399999999999977</v>
      </c>
      <c r="D50" s="234"/>
    </row>
    <row r="51" spans="1:6">
      <c r="A51" s="171" t="s">
        <v>78</v>
      </c>
      <c r="B51" s="33">
        <f t="shared" si="0"/>
        <v>616.29999999999995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224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16058.503379364003</v>
      </c>
      <c r="C5" s="17">
        <f>IF(ISERROR('Eigen informatie GS &amp; warmtenet'!B58),0,'Eigen informatie GS &amp; warmtenet'!B58)</f>
        <v>0</v>
      </c>
      <c r="D5" s="30">
        <f>SUM(D6:D12)</f>
        <v>17437.433639275321</v>
      </c>
      <c r="E5" s="17">
        <f>SUM(E6:E12)</f>
        <v>364.41664051719289</v>
      </c>
      <c r="F5" s="17">
        <f>SUM(F6:F12)</f>
        <v>4082.2205505666416</v>
      </c>
      <c r="G5" s="18"/>
      <c r="H5" s="17"/>
      <c r="I5" s="17"/>
      <c r="J5" s="17">
        <f>SUM(J6:J12)</f>
        <v>0</v>
      </c>
      <c r="K5" s="17"/>
      <c r="L5" s="17"/>
      <c r="M5" s="17"/>
      <c r="N5" s="17">
        <f>SUM(N6:N12)</f>
        <v>1189.4810025821505</v>
      </c>
      <c r="O5" s="17">
        <f>B38*B39*B40</f>
        <v>9.3800000000000008</v>
      </c>
      <c r="P5" s="17">
        <f>B46*B47*B48/1000-B46*B47*B48/1000/B49</f>
        <v>19.066666666666666</v>
      </c>
      <c r="R5" s="32"/>
    </row>
    <row r="6" spans="1:18">
      <c r="A6" s="32" t="s">
        <v>54</v>
      </c>
      <c r="B6" s="37">
        <f>B26</f>
        <v>1902.1580660000002</v>
      </c>
      <c r="C6" s="33"/>
      <c r="D6" s="37">
        <f>IF(ISERROR(TER_kantoor_gas_kWh/1000),0,TER_kantoor_gas_kWh/1000)*0.902</f>
        <v>2159.3859287373998</v>
      </c>
      <c r="E6" s="33">
        <f>$C$26*'E Balans VL '!I12/100/3.6*1000000</f>
        <v>24.901592202915637</v>
      </c>
      <c r="F6" s="33">
        <f>$C$26*('E Balans VL '!L12+'E Balans VL '!N12)/100/3.6*1000000</f>
        <v>485.03065066280027</v>
      </c>
      <c r="G6" s="34"/>
      <c r="H6" s="33"/>
      <c r="I6" s="33"/>
      <c r="J6" s="33">
        <f>$C$26*('E Balans VL '!D12+'E Balans VL '!E12)/100/3.6*1000000</f>
        <v>0</v>
      </c>
      <c r="K6" s="33"/>
      <c r="L6" s="33"/>
      <c r="M6" s="33"/>
      <c r="N6" s="33">
        <f>$C$26*'E Balans VL '!Y12/100/3.6*1000000</f>
        <v>1.9085634814023256</v>
      </c>
      <c r="O6" s="33"/>
      <c r="P6" s="33"/>
      <c r="R6" s="32"/>
    </row>
    <row r="7" spans="1:18">
      <c r="A7" s="32" t="s">
        <v>53</v>
      </c>
      <c r="B7" s="37">
        <f t="shared" ref="B7:B12" si="0">B27</f>
        <v>1937.7385978999998</v>
      </c>
      <c r="C7" s="33"/>
      <c r="D7" s="37">
        <f>IF(ISERROR(TER_horeca_gas_kWh/1000),0,TER_horeca_gas_kWh/1000)*0.902</f>
        <v>2567.377754953</v>
      </c>
      <c r="E7" s="33">
        <f>$C$27*'E Balans VL '!I9/100/3.6*1000000</f>
        <v>64.12736072200056</v>
      </c>
      <c r="F7" s="33">
        <f>$C$27*('E Balans VL '!L9+'E Balans VL '!N9)/100/3.6*1000000</f>
        <v>833.22017078315639</v>
      </c>
      <c r="G7" s="34"/>
      <c r="H7" s="33"/>
      <c r="I7" s="33"/>
      <c r="J7" s="33">
        <f>$C$27*('E Balans VL '!D9+'E Balans VL '!E9)/100/3.6*1000000</f>
        <v>0</v>
      </c>
      <c r="K7" s="33"/>
      <c r="L7" s="33"/>
      <c r="M7" s="33"/>
      <c r="N7" s="33">
        <f>$C$27*'E Balans VL '!Y9/100/3.6*1000000</f>
        <v>0.46644181956697589</v>
      </c>
      <c r="O7" s="33"/>
      <c r="P7" s="33"/>
      <c r="R7" s="32"/>
    </row>
    <row r="8" spans="1:18">
      <c r="A8" s="6" t="s">
        <v>52</v>
      </c>
      <c r="B8" s="37">
        <f t="shared" si="0"/>
        <v>5670.2364561000004</v>
      </c>
      <c r="C8" s="33"/>
      <c r="D8" s="37">
        <f>IF(ISERROR(TER_handel_gas_kWh/1000),0,TER_handel_gas_kWh/1000)*0.902</f>
        <v>2876.5688677506005</v>
      </c>
      <c r="E8" s="33">
        <f>$C$28*'E Balans VL '!I13/100/3.6*1000000</f>
        <v>178.9613264179273</v>
      </c>
      <c r="F8" s="33">
        <f>$C$28*('E Balans VL '!L13+'E Balans VL '!N13)/100/3.6*1000000</f>
        <v>1112.0332157061714</v>
      </c>
      <c r="G8" s="34"/>
      <c r="H8" s="33"/>
      <c r="I8" s="33"/>
      <c r="J8" s="33">
        <f>$C$28*('E Balans VL '!D13+'E Balans VL '!E13)/100/3.6*1000000</f>
        <v>0</v>
      </c>
      <c r="K8" s="33"/>
      <c r="L8" s="33"/>
      <c r="M8" s="33"/>
      <c r="N8" s="33">
        <f>$C$28*'E Balans VL '!Y13/100/3.6*1000000</f>
        <v>6.7294698104974549</v>
      </c>
      <c r="O8" s="33"/>
      <c r="P8" s="33"/>
      <c r="R8" s="32"/>
    </row>
    <row r="9" spans="1:18">
      <c r="A9" s="32" t="s">
        <v>51</v>
      </c>
      <c r="B9" s="37">
        <f t="shared" si="0"/>
        <v>221.06563052000001</v>
      </c>
      <c r="C9" s="33"/>
      <c r="D9" s="37">
        <f>IF(ISERROR(TER_gezond_gas_kWh/1000),0,TER_gezond_gas_kWh/1000)*0.902</f>
        <v>323.92449421507996</v>
      </c>
      <c r="E9" s="33">
        <f>$C$29*'E Balans VL '!I10/100/3.6*1000000</f>
        <v>2.8302867838087345E-2</v>
      </c>
      <c r="F9" s="33">
        <f>$C$29*('E Balans VL '!L10+'E Balans VL '!N10)/100/3.6*1000000</f>
        <v>46.057236547032083</v>
      </c>
      <c r="G9" s="34"/>
      <c r="H9" s="33"/>
      <c r="I9" s="33"/>
      <c r="J9" s="33">
        <f>$C$29*('E Balans VL '!D10+'E Balans VL '!E10)/100/3.6*1000000</f>
        <v>0</v>
      </c>
      <c r="K9" s="33"/>
      <c r="L9" s="33"/>
      <c r="M9" s="33"/>
      <c r="N9" s="33">
        <f>$C$29*'E Balans VL '!Y10/100/3.6*1000000</f>
        <v>2.5965203198111628</v>
      </c>
      <c r="O9" s="33"/>
      <c r="P9" s="33"/>
      <c r="R9" s="32"/>
    </row>
    <row r="10" spans="1:18">
      <c r="A10" s="32" t="s">
        <v>50</v>
      </c>
      <c r="B10" s="37">
        <f t="shared" si="0"/>
        <v>890.33827714999995</v>
      </c>
      <c r="C10" s="33"/>
      <c r="D10" s="37">
        <f>IF(ISERROR(TER_ander_gas_kWh/1000),0,TER_ander_gas_kWh/1000)*0.902</f>
        <v>450.43219697124005</v>
      </c>
      <c r="E10" s="33">
        <f>$C$30*'E Balans VL '!I14/100/3.6*1000000</f>
        <v>1.3388593919092056</v>
      </c>
      <c r="F10" s="33">
        <f>$C$30*('E Balans VL '!L14+'E Balans VL '!N14)/100/3.6*1000000</f>
        <v>196.55799189917346</v>
      </c>
      <c r="G10" s="34"/>
      <c r="H10" s="33"/>
      <c r="I10" s="33"/>
      <c r="J10" s="33">
        <f>$C$30*('E Balans VL '!D14+'E Balans VL '!E14)/100/3.6*1000000</f>
        <v>0</v>
      </c>
      <c r="K10" s="33"/>
      <c r="L10" s="33"/>
      <c r="M10" s="33"/>
      <c r="N10" s="33">
        <f>$C$30*'E Balans VL '!Y14/100/3.6*1000000</f>
        <v>701.64647990113713</v>
      </c>
      <c r="O10" s="33"/>
      <c r="P10" s="33"/>
      <c r="R10" s="32"/>
    </row>
    <row r="11" spans="1:18">
      <c r="A11" s="32" t="s">
        <v>55</v>
      </c>
      <c r="B11" s="37">
        <f t="shared" si="0"/>
        <v>42.082313993999996</v>
      </c>
      <c r="C11" s="33"/>
      <c r="D11" s="37">
        <f>IF(ISERROR(TER_onderwijs_gas_kWh/1000),0,TER_onderwijs_gas_kWh/1000)*0.902</f>
        <v>0</v>
      </c>
      <c r="E11" s="33">
        <f>$C$31*'E Balans VL '!I11/100/3.6*1000000</f>
        <v>7.4110481429156896E-2</v>
      </c>
      <c r="F11" s="33">
        <f>$C$31*('E Balans VL '!L11+'E Balans VL '!N11)/100/3.6*1000000</f>
        <v>19.430165849242091</v>
      </c>
      <c r="G11" s="34"/>
      <c r="H11" s="33"/>
      <c r="I11" s="33"/>
      <c r="J11" s="33">
        <f>$C$31*('E Balans VL '!D11+'E Balans VL '!E11)/100/3.6*1000000</f>
        <v>0</v>
      </c>
      <c r="K11" s="33"/>
      <c r="L11" s="33"/>
      <c r="M11" s="33"/>
      <c r="N11" s="33">
        <f>$C$31*'E Balans VL '!Y11/100/3.6*1000000</f>
        <v>7.8399932917829859E-2</v>
      </c>
      <c r="O11" s="33"/>
      <c r="P11" s="33"/>
      <c r="R11" s="32"/>
    </row>
    <row r="12" spans="1:18">
      <c r="A12" s="32" t="s">
        <v>260</v>
      </c>
      <c r="B12" s="37">
        <f t="shared" si="0"/>
        <v>5394.8840377000006</v>
      </c>
      <c r="C12" s="33"/>
      <c r="D12" s="37">
        <f>IF(ISERROR(TER_rest_gas_kWh/1000),0,TER_rest_gas_kWh/1000)*0.902</f>
        <v>9059.7443966480005</v>
      </c>
      <c r="E12" s="33">
        <f>$C$32*'E Balans VL '!I8/100/3.6*1000000</f>
        <v>94.985088433172947</v>
      </c>
      <c r="F12" s="33">
        <f>$C$32*('E Balans VL '!L8+'E Balans VL '!N8)/100/3.6*1000000</f>
        <v>1389.8911191190662</v>
      </c>
      <c r="G12" s="34"/>
      <c r="H12" s="33"/>
      <c r="I12" s="33"/>
      <c r="J12" s="33">
        <f>$C$32*('E Balans VL '!D8+'E Balans VL '!E8)/100/3.6*1000000</f>
        <v>0</v>
      </c>
      <c r="K12" s="33"/>
      <c r="L12" s="33"/>
      <c r="M12" s="33"/>
      <c r="N12" s="33">
        <f>$C$32*'E Balans VL '!Y8/100/3.6*1000000</f>
        <v>476.05512731681767</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16058.503379364003</v>
      </c>
      <c r="C16" s="21">
        <f t="shared" ca="1" si="1"/>
        <v>0</v>
      </c>
      <c r="D16" s="21">
        <f t="shared" ca="1" si="1"/>
        <v>17437.433639275321</v>
      </c>
      <c r="E16" s="21">
        <f t="shared" si="1"/>
        <v>364.41664051719289</v>
      </c>
      <c r="F16" s="21">
        <f t="shared" ca="1" si="1"/>
        <v>4082.2205505666416</v>
      </c>
      <c r="G16" s="21">
        <f t="shared" si="1"/>
        <v>0</v>
      </c>
      <c r="H16" s="21">
        <f t="shared" si="1"/>
        <v>0</v>
      </c>
      <c r="I16" s="21">
        <f t="shared" si="1"/>
        <v>0</v>
      </c>
      <c r="J16" s="21">
        <f t="shared" si="1"/>
        <v>0</v>
      </c>
      <c r="K16" s="21">
        <f t="shared" si="1"/>
        <v>0</v>
      </c>
      <c r="L16" s="21">
        <f t="shared" ca="1" si="1"/>
        <v>0</v>
      </c>
      <c r="M16" s="21">
        <f t="shared" si="1"/>
        <v>0</v>
      </c>
      <c r="N16" s="21">
        <f t="shared" ca="1" si="1"/>
        <v>1189.4810025821505</v>
      </c>
      <c r="O16" s="21">
        <f>O5</f>
        <v>9.3800000000000008</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0.1958822862270434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3145.5763553345232</v>
      </c>
      <c r="C20" s="23">
        <f t="shared" ref="C20:P20" ca="1" si="2">C16*C18</f>
        <v>0</v>
      </c>
      <c r="D20" s="23">
        <f t="shared" ca="1" si="2"/>
        <v>3522.3615951336151</v>
      </c>
      <c r="E20" s="23">
        <f t="shared" si="2"/>
        <v>82.722577397402787</v>
      </c>
      <c r="F20" s="23">
        <f t="shared" ca="1" si="2"/>
        <v>1089.9528870012934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1902.1580660000002</v>
      </c>
      <c r="C26" s="39">
        <f>IF(ISERROR(B26*3.6/1000000/'E Balans VL '!Z12*100),0,B26*3.6/1000000/'E Balans VL '!Z12*100)</f>
        <v>4.074570350277941E-2</v>
      </c>
      <c r="D26" s="237" t="s">
        <v>660</v>
      </c>
      <c r="F26" s="6"/>
    </row>
    <row r="27" spans="1:18">
      <c r="A27" s="231" t="s">
        <v>53</v>
      </c>
      <c r="B27" s="33">
        <f>IF(ISERROR(TER_horeca_ele_kWh/1000),0,TER_horeca_ele_kWh/1000)</f>
        <v>1937.7385978999998</v>
      </c>
      <c r="C27" s="39">
        <f>IF(ISERROR(B27*3.6/1000000/'E Balans VL '!Z9*100),0,B27*3.6/1000000/'E Balans VL '!Z9*100)</f>
        <v>0.15549678697085917</v>
      </c>
      <c r="D27" s="237" t="s">
        <v>660</v>
      </c>
      <c r="F27" s="6"/>
    </row>
    <row r="28" spans="1:18">
      <c r="A28" s="171" t="s">
        <v>52</v>
      </c>
      <c r="B28" s="33">
        <f>IF(ISERROR(TER_handel_ele_kWh/1000),0,TER_handel_ele_kWh/1000)</f>
        <v>5670.2364561000004</v>
      </c>
      <c r="C28" s="39">
        <f>IF(ISERROR(B28*3.6/1000000/'E Balans VL '!Z13*100),0,B28*3.6/1000000/'E Balans VL '!Z13*100)</f>
        <v>0.16723945227588205</v>
      </c>
      <c r="D28" s="237" t="s">
        <v>660</v>
      </c>
      <c r="F28" s="6"/>
    </row>
    <row r="29" spans="1:18">
      <c r="A29" s="231" t="s">
        <v>51</v>
      </c>
      <c r="B29" s="33">
        <f>IF(ISERROR(TER_gezond_ele_kWh/1000),0,TER_gezond_ele_kWh/1000)</f>
        <v>221.06563052000001</v>
      </c>
      <c r="C29" s="39">
        <f>IF(ISERROR(B29*3.6/1000000/'E Balans VL '!Z10*100),0,B29*3.6/1000000/'E Balans VL '!Z10*100)</f>
        <v>2.36038823477214E-2</v>
      </c>
      <c r="D29" s="237" t="s">
        <v>660</v>
      </c>
      <c r="F29" s="6"/>
    </row>
    <row r="30" spans="1:18">
      <c r="A30" s="231" t="s">
        <v>50</v>
      </c>
      <c r="B30" s="33">
        <f>IF(ISERROR(TER_ander_ele_kWh/1000),0,TER_ander_ele_kWh/1000)</f>
        <v>890.33827714999995</v>
      </c>
      <c r="C30" s="39">
        <f>IF(ISERROR(B30*3.6/1000000/'E Balans VL '!Z14*100),0,B30*3.6/1000000/'E Balans VL '!Z14*100)</f>
        <v>6.7250746290528074E-2</v>
      </c>
      <c r="D30" s="237" t="s">
        <v>660</v>
      </c>
      <c r="F30" s="6"/>
    </row>
    <row r="31" spans="1:18">
      <c r="A31" s="231" t="s">
        <v>55</v>
      </c>
      <c r="B31" s="33">
        <f>IF(ISERROR(TER_onderwijs_ele_kWh/1000),0,TER_onderwijs_ele_kWh/1000)</f>
        <v>42.082313993999996</v>
      </c>
      <c r="C31" s="39">
        <f>IF(ISERROR(B31*3.6/1000000/'E Balans VL '!Z11*100),0,B31*3.6/1000000/'E Balans VL '!Z11*100)</f>
        <v>8.4978240115576847E-3</v>
      </c>
      <c r="D31" s="237" t="s">
        <v>660</v>
      </c>
    </row>
    <row r="32" spans="1:18">
      <c r="A32" s="231" t="s">
        <v>260</v>
      </c>
      <c r="B32" s="33">
        <f>IF(ISERROR(TER_rest_ele_kWh/1000),0,TER_rest_ele_kWh/1000)</f>
        <v>5394.8840377000006</v>
      </c>
      <c r="C32" s="39">
        <f>IF(ISERROR(B32*3.6/1000000/'E Balans VL '!Z8*100),0,B32*3.6/1000000/'E Balans VL '!Z8*100)</f>
        <v>4.4731100994360701E-2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4158.185726062</v>
      </c>
      <c r="C5" s="17">
        <f>IF(ISERROR('Eigen informatie GS &amp; warmtenet'!B59),0,'Eigen informatie GS &amp; warmtenet'!B59)</f>
        <v>0</v>
      </c>
      <c r="D5" s="30">
        <f>SUM(D6:D15)</f>
        <v>2351.3572134670198</v>
      </c>
      <c r="E5" s="17">
        <f>SUM(E6:E15)</f>
        <v>577.14189780143977</v>
      </c>
      <c r="F5" s="17">
        <f>SUM(F6:F15)</f>
        <v>2075.1656709577474</v>
      </c>
      <c r="G5" s="18"/>
      <c r="H5" s="17"/>
      <c r="I5" s="17"/>
      <c r="J5" s="17">
        <f>SUM(J6:J15)</f>
        <v>22.308526181993081</v>
      </c>
      <c r="K5" s="17"/>
      <c r="L5" s="17"/>
      <c r="M5" s="17"/>
      <c r="N5" s="17">
        <f>SUM(N6:N15)</f>
        <v>1243.385934250136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74.491425692000007</v>
      </c>
      <c r="C8" s="33"/>
      <c r="D8" s="37">
        <f>IF( ISERROR(IND_metaal_Gas_kWH/1000),0,IND_metaal_Gas_kWH/1000)*0.902</f>
        <v>0</v>
      </c>
      <c r="E8" s="33">
        <f>C30*'E Balans VL '!I18/100/3.6*1000000</f>
        <v>2.680426848237031</v>
      </c>
      <c r="F8" s="33">
        <f>C30*'E Balans VL '!L18/100/3.6*1000000+C30*'E Balans VL '!N18/100/3.6*1000000</f>
        <v>32.527990847478343</v>
      </c>
      <c r="G8" s="34"/>
      <c r="H8" s="33"/>
      <c r="I8" s="33"/>
      <c r="J8" s="40">
        <f>C30*'E Balans VL '!D18/100/3.6*1000000+C30*'E Balans VL '!E18/100/3.6*1000000</f>
        <v>0</v>
      </c>
      <c r="K8" s="33"/>
      <c r="L8" s="33"/>
      <c r="M8" s="33"/>
      <c r="N8" s="33">
        <f>C30*'E Balans VL '!Y18/100/3.6*1000000</f>
        <v>3.7334596333953654</v>
      </c>
      <c r="O8" s="33"/>
      <c r="P8" s="33"/>
      <c r="R8" s="32"/>
    </row>
    <row r="9" spans="1:18">
      <c r="A9" s="6" t="s">
        <v>33</v>
      </c>
      <c r="B9" s="37">
        <f t="shared" si="0"/>
        <v>1820.3208015999999</v>
      </c>
      <c r="C9" s="33"/>
      <c r="D9" s="37">
        <f>IF( ISERROR(IND_andere_gas_kWh/1000),0,IND_andere_gas_kWh/1000)*0.902</f>
        <v>1518.7528711959999</v>
      </c>
      <c r="E9" s="33">
        <f>C31*'E Balans VL '!I19/100/3.6*1000000</f>
        <v>464.5046826566093</v>
      </c>
      <c r="F9" s="33">
        <f>C31*'E Balans VL '!L19/100/3.6*1000000+C31*'E Balans VL '!N19/100/3.6*1000000</f>
        <v>1567.159389547023</v>
      </c>
      <c r="G9" s="34"/>
      <c r="H9" s="33"/>
      <c r="I9" s="33"/>
      <c r="J9" s="40">
        <f>C31*'E Balans VL '!D19/100/3.6*1000000+C31*'E Balans VL '!E19/100/3.6*1000000</f>
        <v>0</v>
      </c>
      <c r="K9" s="33"/>
      <c r="L9" s="33"/>
      <c r="M9" s="33"/>
      <c r="N9" s="33">
        <f>C31*'E Balans VL '!Y19/100/3.6*1000000</f>
        <v>569.276654137116</v>
      </c>
      <c r="O9" s="33"/>
      <c r="P9" s="33"/>
      <c r="R9" s="32"/>
    </row>
    <row r="10" spans="1:18">
      <c r="A10" s="6" t="s">
        <v>41</v>
      </c>
      <c r="B10" s="37">
        <f t="shared" si="0"/>
        <v>266.36790808000001</v>
      </c>
      <c r="C10" s="33"/>
      <c r="D10" s="37">
        <f>IF( ISERROR(IND_voed_gas_kWh/1000),0,IND_voed_gas_kWh/1000)*0.902</f>
        <v>306.51701474262001</v>
      </c>
      <c r="E10" s="33">
        <f>C32*'E Balans VL '!I20/100/3.6*1000000</f>
        <v>6.7714379765042425</v>
      </c>
      <c r="F10" s="33">
        <f>C32*'E Balans VL '!L20/100/3.6*1000000+C32*'E Balans VL '!N20/100/3.6*1000000</f>
        <v>60.275059071370507</v>
      </c>
      <c r="G10" s="34"/>
      <c r="H10" s="33"/>
      <c r="I10" s="33"/>
      <c r="J10" s="40">
        <f>C32*'E Balans VL '!D20/100/3.6*1000000+C32*'E Balans VL '!E20/100/3.6*1000000</f>
        <v>0</v>
      </c>
      <c r="K10" s="33"/>
      <c r="L10" s="33"/>
      <c r="M10" s="33"/>
      <c r="N10" s="33">
        <f>C32*'E Balans VL '!Y20/100/3.6*1000000</f>
        <v>99.895185716144852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103.99118819</v>
      </c>
      <c r="C13" s="33"/>
      <c r="D13" s="37">
        <f>IF( ISERROR(IND_papier_gas_kWh/1000),0,IND_papier_gas_kWh/1000)*0.902</f>
        <v>91.349572003139997</v>
      </c>
      <c r="E13" s="33">
        <f>C35*'E Balans VL '!I23/100/3.6*1000000</f>
        <v>0.44598795326093088</v>
      </c>
      <c r="F13" s="33">
        <f>C35*'E Balans VL '!L23/100/3.6*1000000+C35*'E Balans VL '!N23/100/3.6*1000000</f>
        <v>2.6136213273154114</v>
      </c>
      <c r="G13" s="34"/>
      <c r="H13" s="33"/>
      <c r="I13" s="33"/>
      <c r="J13" s="40">
        <f>C35*'E Balans VL '!D23/100/3.6*1000000+C35*'E Balans VL '!E23/100/3.6*1000000</f>
        <v>6.9616396811159227</v>
      </c>
      <c r="K13" s="33"/>
      <c r="L13" s="33"/>
      <c r="M13" s="33"/>
      <c r="N13" s="33">
        <f>C35*'E Balans VL '!Y23/100/3.6*1000000</f>
        <v>189.28869255386152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1893.0144025000002</v>
      </c>
      <c r="C15" s="33"/>
      <c r="D15" s="37">
        <f>IF( ISERROR(IND_rest_gas_kWh/1000),0,IND_rest_gas_kWh/1000)*0.902</f>
        <v>434.73775552526001</v>
      </c>
      <c r="E15" s="33">
        <f>C37*'E Balans VL '!I15/100/3.6*1000000</f>
        <v>102.7393623668283</v>
      </c>
      <c r="F15" s="33">
        <f>C37*'E Balans VL '!L15/100/3.6*1000000+C37*'E Balans VL '!N15/100/3.6*1000000</f>
        <v>412.58961016455987</v>
      </c>
      <c r="G15" s="34"/>
      <c r="H15" s="33"/>
      <c r="I15" s="33"/>
      <c r="J15" s="40">
        <f>C37*'E Balans VL '!D15/100/3.6*1000000+C37*'E Balans VL '!E15/100/3.6*1000000</f>
        <v>15.34688650087716</v>
      </c>
      <c r="K15" s="33"/>
      <c r="L15" s="33"/>
      <c r="M15" s="33"/>
      <c r="N15" s="33">
        <f>C37*'E Balans VL '!Y15/100/3.6*1000000</f>
        <v>381.19194220961833</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4158.185726062</v>
      </c>
      <c r="C18" s="21">
        <f>C5+C16</f>
        <v>0</v>
      </c>
      <c r="D18" s="21">
        <f>MAX((D5+D16),0)</f>
        <v>2351.3572134670198</v>
      </c>
      <c r="E18" s="21">
        <f>MAX((E5+E16),0)</f>
        <v>577.14189780143977</v>
      </c>
      <c r="F18" s="21">
        <f>MAX((F5+F16),0)</f>
        <v>2075.1656709577474</v>
      </c>
      <c r="G18" s="21"/>
      <c r="H18" s="21"/>
      <c r="I18" s="21"/>
      <c r="J18" s="21">
        <f>MAX((J5+J16),0)</f>
        <v>22.308526181993081</v>
      </c>
      <c r="K18" s="21"/>
      <c r="L18" s="21">
        <f>MAX((L5+L16),0)</f>
        <v>0</v>
      </c>
      <c r="M18" s="21"/>
      <c r="N18" s="21">
        <f>MAX((N5+N16),0)</f>
        <v>1243.385934250136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0.1958822862270434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814.51492657768301</v>
      </c>
      <c r="C22" s="23">
        <f ca="1">C18*C20</f>
        <v>0</v>
      </c>
      <c r="D22" s="23">
        <f>D18*D20</f>
        <v>474.97415712033802</v>
      </c>
      <c r="E22" s="23">
        <f>E18*E20</f>
        <v>131.01121080092682</v>
      </c>
      <c r="F22" s="23">
        <f>F18*F20</f>
        <v>554.06923414571861</v>
      </c>
      <c r="G22" s="23"/>
      <c r="H22" s="23"/>
      <c r="I22" s="23"/>
      <c r="J22" s="23">
        <f>J18*J20</f>
        <v>7.8972182684255499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74.491425692000007</v>
      </c>
      <c r="C30" s="39">
        <f>IF(ISERROR(B30*3.6/1000000/'E Balans VL '!Z18*100),0,B30*3.6/1000000/'E Balans VL '!Z18*100)</f>
        <v>1.5783136050059193E-2</v>
      </c>
      <c r="D30" s="237" t="s">
        <v>660</v>
      </c>
    </row>
    <row r="31" spans="1:18">
      <c r="A31" s="6" t="s">
        <v>33</v>
      </c>
      <c r="B31" s="37">
        <f>IF( ISERROR(IND_ander_ele_kWh/1000),0,IND_ander_ele_kWh/1000)</f>
        <v>1820.3208015999999</v>
      </c>
      <c r="C31" s="39">
        <f>IF(ISERROR(B31*3.6/1000000/'E Balans VL '!Z19*100),0,B31*3.6/1000000/'E Balans VL '!Z19*100)</f>
        <v>7.6621435878324901E-2</v>
      </c>
      <c r="D31" s="237" t="s">
        <v>660</v>
      </c>
    </row>
    <row r="32" spans="1:18">
      <c r="A32" s="171" t="s">
        <v>41</v>
      </c>
      <c r="B32" s="37">
        <f>IF( ISERROR(IND_voed_ele_kWh/1000),0,IND_voed_ele_kWh/1000)</f>
        <v>266.36790808000001</v>
      </c>
      <c r="C32" s="39">
        <f>IF(ISERROR(B32*3.6/1000000/'E Balans VL '!Z20*100),0,B32*3.6/1000000/'E Balans VL '!Z20*100)</f>
        <v>4.4499772790368528E-2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103.99118819</v>
      </c>
      <c r="C35" s="39">
        <f>IF(ISERROR(B35*3.6/1000000/'E Balans VL '!Z22*100),0,B35*3.6/1000000/'E Balans VL '!Z22*100)</f>
        <v>1.3181443925904042E-2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1893.0144025000002</v>
      </c>
      <c r="C37" s="39">
        <f>IF(ISERROR(B37*3.6/1000000/'E Balans VL '!Z15*100),0,B37*3.6/1000000/'E Balans VL '!Z15*100)</f>
        <v>1.5283038280155687E-2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1629.3010157299998</v>
      </c>
      <c r="C5" s="17">
        <f>'Eigen informatie GS &amp; warmtenet'!B60</f>
        <v>0</v>
      </c>
      <c r="D5" s="30">
        <f>IF(ISERROR(SUM(LB_lb_gas_kWh,LB_rest_gas_kWh,onbekend_gas_kWh)/1000),0,SUM(LB_lb_gas_kWh,LB_rest_gas_kWh,onbekend_gas_kWh)/1000)*0.902</f>
        <v>1953.6800841885361</v>
      </c>
      <c r="E5" s="17">
        <f>B17*'E Balans VL '!I25/3.6*1000000/100</f>
        <v>42.01341740303824</v>
      </c>
      <c r="F5" s="17">
        <f>B17*('E Balans VL '!L25/3.6*1000000+'E Balans VL '!N25/3.6*1000000)/100</f>
        <v>5955.4054977988235</v>
      </c>
      <c r="G5" s="18"/>
      <c r="H5" s="17"/>
      <c r="I5" s="17"/>
      <c r="J5" s="17">
        <f>('E Balans VL '!D25+'E Balans VL '!E25)/3.6*1000000*landbouw!B17/100</f>
        <v>234.55940972738387</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1629.3010157299998</v>
      </c>
      <c r="C8" s="21">
        <f>C5+C6</f>
        <v>0</v>
      </c>
      <c r="D8" s="21">
        <f>MAX((D5+D6),0)</f>
        <v>1953.6800841885361</v>
      </c>
      <c r="E8" s="21">
        <f>MAX((E5+E6),0)</f>
        <v>42.01341740303824</v>
      </c>
      <c r="F8" s="21">
        <f>MAX((F5+F6),0)</f>
        <v>5955.4054977988235</v>
      </c>
      <c r="G8" s="21"/>
      <c r="H8" s="21"/>
      <c r="I8" s="21"/>
      <c r="J8" s="21">
        <f>MAX((J5+J6),0)</f>
        <v>234.55940972738387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0.1958822862270434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319.15120791323636</v>
      </c>
      <c r="C12" s="23">
        <f ca="1">C8*C10</f>
        <v>0</v>
      </c>
      <c r="D12" s="23">
        <f>D8*D10</f>
        <v>394.64337700608434</v>
      </c>
      <c r="E12" s="23">
        <f>E8*E10</f>
        <v>9.5370457504896802</v>
      </c>
      <c r="F12" s="23">
        <f>F8*F10</f>
        <v>1590.0932679122859</v>
      </c>
      <c r="G12" s="23"/>
      <c r="H12" s="23"/>
      <c r="I12" s="23"/>
      <c r="J12" s="23">
        <f>J8*J10</f>
        <v>83.034031043493883</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0.229742235465865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373.66807492369981</v>
      </c>
      <c r="C26" s="247">
        <f>B26*'GWP N2O_CH4'!B5</f>
        <v>7847.0295733976964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202.38754850130368</v>
      </c>
      <c r="C27" s="247">
        <f>B27*'GWP N2O_CH4'!B5</f>
        <v>4250.1385185273775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5.376183841224532</v>
      </c>
      <c r="C28" s="247">
        <f>B28*'GWP N2O_CH4'!B4</f>
        <v>1666.616990779605</v>
      </c>
      <c r="D28" s="50"/>
    </row>
    <row r="29" spans="1:4">
      <c r="A29" s="41" t="s">
        <v>277</v>
      </c>
      <c r="B29" s="247">
        <f>B34*'ha_N2O bodem landbouw'!B4</f>
        <v>16.051422817276396</v>
      </c>
      <c r="C29" s="247">
        <f>B29*'GWP N2O_CH4'!B4</f>
        <v>4975.9410733556833</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3.6124423935765871E-3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1.9030973103963583E-4</v>
      </c>
      <c r="C5" s="463" t="s">
        <v>211</v>
      </c>
      <c r="D5" s="448">
        <f>SUM(D6:D11)</f>
        <v>4.0192155670701368E-4</v>
      </c>
      <c r="E5" s="448">
        <f>SUM(E6:E11)</f>
        <v>1.8182095410913335E-3</v>
      </c>
      <c r="F5" s="461" t="s">
        <v>211</v>
      </c>
      <c r="G5" s="448">
        <f>SUM(G6:G11)</f>
        <v>0.80050402592113534</v>
      </c>
      <c r="H5" s="448">
        <f>SUM(H6:H11)</f>
        <v>0.11158203338075805</v>
      </c>
      <c r="I5" s="463" t="s">
        <v>211</v>
      </c>
      <c r="J5" s="463" t="s">
        <v>211</v>
      </c>
      <c r="K5" s="463" t="s">
        <v>211</v>
      </c>
      <c r="L5" s="463" t="s">
        <v>211</v>
      </c>
      <c r="M5" s="448">
        <f>SUM(M6:M11)</f>
        <v>2.8561605981048212E-2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6.0562303787107625E-5</v>
      </c>
      <c r="C6" s="449"/>
      <c r="D6" s="962">
        <f>vkm_2011_GW_PW*SUMIFS(TableVerdeelsleutelVkm[CNG],TableVerdeelsleutelVkm[Voertuigtype],"Lichte voertuigen")*SUMIFS(TableECFTransport[EnergieConsumptieFactor (PJ per km)],TableECFTransport[Index],CONCATENATE($A6,"_CNG_CNG"))</f>
        <v>1.2033835846666419E-4</v>
      </c>
      <c r="E6" s="962">
        <f>vkm_2011_GW_PW*SUMIFS(TableVerdeelsleutelVkm[LPG],TableVerdeelsleutelVkm[Voertuigtype],"Lichte voertuigen")*SUMIFS(TableECFTransport[EnergieConsumptieFactor (PJ per km)],TableECFTransport[Index],CONCATENATE($A6,"_LPG_LPG"))</f>
        <v>4.7357457863401168E-4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0.1125997855078513</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3.257921393640327E-2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4.5239116829311702E-3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7.1115726045505492E-2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2.2973417114816182E-5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2.2407477152235501E-3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8.1326461223573159E-6</v>
      </c>
      <c r="C8" s="449"/>
      <c r="D8" s="451">
        <f>vkm_2011_NGW_PW*SUMIFS(TableVerdeelsleutelVkm[CNG],TableVerdeelsleutelVkm[Voertuigtype],"Lichte voertuigen")*SUMIFS(TableECFTransport[EnergieConsumptieFactor (PJ per km)],TableECFTransport[Index],CONCATENATE($A8,"_CNG_CNG"))</f>
        <v>2.8612952037240224E-5</v>
      </c>
      <c r="E8" s="451">
        <f>vkm_2011_NGW_PW*SUMIFS(TableVerdeelsleutelVkm[LPG],TableVerdeelsleutelVkm[Voertuigtype],"Lichte voertuigen")*SUMIFS(TableECFTransport[EnergieConsumptieFactor (PJ per km)],TableECFTransport[Index],CONCATENATE($A8,"_LPG_LPG"))</f>
        <v>1.0413716365111659E-4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2.3121377732798244E-2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7.5113188987056476E-3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9.535838929525611E-4</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4.7774981085522087E-3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1.4595661810724817E-6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1.5052914293929806E-4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1.2161478113017089E-4</v>
      </c>
      <c r="C10" s="449"/>
      <c r="D10" s="451">
        <f>vkm_2011_SW_PW*SUMIFS(TableVerdeelsleutelVkm[CNG],TableVerdeelsleutelVkm[Voertuigtype],"Lichte voertuigen")*SUMIFS(TableECFTransport[EnergieConsumptieFactor (PJ per km)],TableECFTransport[Index],CONCATENATE($A10,"_CNG_CNG"))</f>
        <v>2.5297024620310926E-4</v>
      </c>
      <c r="E10" s="451">
        <f>vkm_2011_SW_PW*SUMIFS(TableVerdeelsleutelVkm[LPG],TableVerdeelsleutelVkm[Voertuigtype],"Lichte voertuigen")*SUMIFS(TableECFTransport[EnergieConsumptieFactor (PJ per km)],TableECFTransport[Index],CONCATENATE($A10,"_LPG_LPG"))</f>
        <v>1.2404977988062051E-3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0.26421178821674457</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7.1354060680047446E-2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1.0462487658516706E-2</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0.32467785030968349</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1.1300688230580021E-4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1.0230345888484925E-2</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52.863814177676623</v>
      </c>
      <c r="C14" s="21"/>
      <c r="D14" s="21">
        <f t="shared" ref="D14:M14" si="0">((D5)*10^9/3600)+D12</f>
        <v>111.64487686305935</v>
      </c>
      <c r="E14" s="21">
        <f t="shared" si="0"/>
        <v>505.05820585870379</v>
      </c>
      <c r="F14" s="21"/>
      <c r="G14" s="21">
        <f t="shared" si="0"/>
        <v>222362.22942253758</v>
      </c>
      <c r="H14" s="21">
        <f t="shared" si="0"/>
        <v>30995.009272432791</v>
      </c>
      <c r="I14" s="21"/>
      <c r="J14" s="21"/>
      <c r="K14" s="21"/>
      <c r="L14" s="21"/>
      <c r="M14" s="21">
        <f t="shared" si="0"/>
        <v>7933.7794391800589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0.1958822862270434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10.355084779804887</v>
      </c>
      <c r="C18" s="23"/>
      <c r="D18" s="23">
        <f t="shared" ref="D18:M18" si="1">D14*D16</f>
        <v>22.552265126337989</v>
      </c>
      <c r="E18" s="23">
        <f t="shared" si="1"/>
        <v>114.64821272992576</v>
      </c>
      <c r="F18" s="23"/>
      <c r="G18" s="23">
        <f t="shared" si="1"/>
        <v>59370.715255817537</v>
      </c>
      <c r="H18" s="23">
        <f t="shared" si="1"/>
        <v>7717.7573088357649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5.8413882050029793E-3</v>
      </c>
      <c r="H50" s="321">
        <f t="shared" si="2"/>
        <v>0</v>
      </c>
      <c r="I50" s="321">
        <f t="shared" si="2"/>
        <v>0</v>
      </c>
      <c r="J50" s="321">
        <f t="shared" si="2"/>
        <v>0</v>
      </c>
      <c r="K50" s="321">
        <f t="shared" si="2"/>
        <v>0</v>
      </c>
      <c r="L50" s="321">
        <f t="shared" si="2"/>
        <v>0</v>
      </c>
      <c r="M50" s="321">
        <f t="shared" si="2"/>
        <v>1.8118679387013037E-4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5.8413882050029793E-3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1.8118679387013037E-4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1622.6078347230498</v>
      </c>
      <c r="H54" s="21">
        <f t="shared" si="3"/>
        <v>0</v>
      </c>
      <c r="I54" s="21">
        <f t="shared" si="3"/>
        <v>0</v>
      </c>
      <c r="J54" s="21">
        <f t="shared" si="3"/>
        <v>0</v>
      </c>
      <c r="K54" s="21">
        <f t="shared" si="3"/>
        <v>0</v>
      </c>
      <c r="L54" s="21">
        <f t="shared" si="3"/>
        <v>0</v>
      </c>
      <c r="M54" s="21">
        <f t="shared" si="3"/>
        <v>50.329664963925104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0.1958822862270434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433.23629187105433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5947.2360681373593</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5947.2360681373593</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2018-06-27T09:41:07Z</dcterms:modified>
</cp:coreProperties>
</file>