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B8" i="9"/>
  <c r="B6" i="48" s="1"/>
  <c r="Q6" s="1"/>
  <c r="C16" i="15"/>
  <c r="D10" i="14" s="1"/>
  <c r="I8" i="18"/>
  <c r="J68" i="14" s="1"/>
  <c r="I14" i="15"/>
  <c r="I16" s="1"/>
  <c r="J10" i="14" s="1"/>
  <c r="J15" s="1"/>
  <c r="B13" i="16"/>
  <c r="C35"/>
  <c r="E9" i="14"/>
  <c r="D14" i="15"/>
  <c r="P22" i="16"/>
  <c r="Q39" i="14" s="1"/>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E8" i="17"/>
  <c r="F22" i="14" s="1"/>
  <c r="O18" i="16"/>
  <c r="O22" s="1"/>
  <c r="P39" i="14" s="1"/>
  <c r="B34" i="13"/>
  <c r="H13" i="48"/>
  <c r="H30" s="1"/>
  <c r="H12" i="22"/>
  <c r="B35" i="13"/>
  <c r="B36"/>
  <c r="B48" s="1"/>
  <c r="C48" s="1"/>
  <c r="N5" s="1"/>
  <c r="N8" s="1"/>
  <c r="N4" i="48" s="1"/>
  <c r="N21" s="1"/>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L53"/>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E12" i="17"/>
  <c r="F48" i="14" s="1"/>
  <c r="C5" i="48"/>
  <c r="P13" i="14" l="1"/>
  <c r="P15" s="1"/>
  <c r="P23" s="1"/>
  <c r="P55" s="1"/>
  <c r="E7" i="48"/>
  <c r="E24" s="1"/>
  <c r="P41" i="14"/>
  <c r="P53" s="1"/>
  <c r="E13"/>
  <c r="N7" i="48"/>
  <c r="N24" s="1"/>
  <c r="G14" i="22"/>
  <c r="D8" i="4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
  <c r="J22" s="1"/>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L31" i="48"/>
  <c r="J20" i="15"/>
  <c r="K36" i="14" s="1"/>
  <c r="E5" i="48"/>
  <c r="E22" s="1"/>
  <c r="J18" i="16"/>
  <c r="J22" s="1"/>
  <c r="K39" i="14" s="1"/>
  <c r="K41" s="1"/>
  <c r="K53"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5" i="14" l="1"/>
  <c r="F23" s="1"/>
  <c r="F55" s="1"/>
  <c r="J8" i="48"/>
  <c r="J25" s="1"/>
  <c r="J31" s="1"/>
  <c r="N25"/>
  <c r="N31" s="1"/>
  <c r="N14"/>
  <c r="E25"/>
  <c r="E31" s="1"/>
  <c r="E14"/>
  <c r="K13" i="14"/>
  <c r="K15" s="1"/>
  <c r="K23" s="1"/>
  <c r="K55" s="1"/>
  <c r="H55"/>
  <c r="E55"/>
  <c r="C78"/>
  <c r="C81" s="1"/>
  <c r="R19"/>
  <c r="R20" s="1"/>
  <c r="H14" i="48"/>
  <c r="G31"/>
  <c r="H26"/>
  <c r="H31" s="1"/>
  <c r="O53" i="14"/>
  <c r="G53"/>
  <c r="G55" s="1"/>
  <c r="O69" s="1"/>
  <c r="B9" i="6" s="1"/>
  <c r="B12" s="1"/>
  <c r="M53" i="14"/>
  <c r="M55" s="1"/>
  <c r="C12" i="13"/>
  <c r="D37" i="14" s="1"/>
  <c r="D41" s="1"/>
  <c r="C23" i="48"/>
  <c r="C24"/>
  <c r="C27"/>
  <c r="C28"/>
  <c r="C22"/>
  <c r="C25"/>
  <c r="C29"/>
  <c r="C21"/>
  <c r="C26"/>
  <c r="R13" i="14"/>
  <c r="R15" s="1"/>
  <c r="F25" i="48"/>
  <c r="F31" s="1"/>
  <c r="F14"/>
  <c r="Q8" l="1"/>
  <c r="Q14" s="1"/>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<sst xmlns="http://schemas.openxmlformats.org/spreadsheetml/2006/main" count="1924" uniqueCount="818">
  <si>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</si>
  <si>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</si>
  <si>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</si>
  <si>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</si>
  <si>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</si>
  <si>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</si>
  <si>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</si>
  <si>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</si>
  <si>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</si>
  <si>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</si>
  <si>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</si>
  <si>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</si>
  <si>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</si>
  <si>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</si>
  <si>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</si>
  <si>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</si>
  <si>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</si>
  <si>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</si>
  <si>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</si>
  <si>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</si>
  <si>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</si>
  <si>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</si>
  <si>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</si>
  <si>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</si>
  <si>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</si>
  <si>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</si>
  <si>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</si>
  <si>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</si>
  <si>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</si>
  <si>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</si>
  <si>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</si>
  <si>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</si>
  <si>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</si>
  <si>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</si>
  <si>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</si>
  <si>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</si>
  <si>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</si>
  <si>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</si>
  <si>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</si>
  <si>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</si>
  <si>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</si>
  <si>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</si>
  <si>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</si>
  <si>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</si>
  <si>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</si>
  <si>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</si>
  <si>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</si>
  <si>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</si>
  <si>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</si>
  <si>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</si>
  <si>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</si>
  <si>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</si>
  <si>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</si>
  <si>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</si>
  <si>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</si>
  <si>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</si>
  <si>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</si>
  <si>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</si>
  <si>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</si>
  <si>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</si>
  <si>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</si>
  <si>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</si>
  <si>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</si>
  <si>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</si>
  <si>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</si>
  <si>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</si>
  <si>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</si>
  <si>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</si>
  <si>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</si>
  <si>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</si>
  <si>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</si>
  <si>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</si>
  <si>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</si>
  <si>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</si>
  <si>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</si>
  <si>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</si>
  <si>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</si>
  <si>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</si>
  <si>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</si>
  <si>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</si>
  <si>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</si>
  <si>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</si>
  <si>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</si>
  <si>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</si>
  <si>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</si>
  <si>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</si>
  <si>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</si>
  <si>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</si>
  <si>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</si>
  <si>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</si>
  <si>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</si>
  <si>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</si>
  <si>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</si>
  <si>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</si>
  <si>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</si>
  <si>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</si>
  <si>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</si>
  <si>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</si>
  <si>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</si>
  <si>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</si>
  <si>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</si>
  <si>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</si>
  <si>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</si>
  <si>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</si>
  <si>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</si>
  <si>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</si>
  <si>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</si>
  <si>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</si>
  <si>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</si>
  <si>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</si>
  <si>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</si>
  <si>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</si>
  <si>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</si>
  <si>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</si>
  <si>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</si>
  <si>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</si>
  <si>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</si>
  <si>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</si>
  <si>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</si>
  <si>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</si>
  <si>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</si>
  <si>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</si>
  <si>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</si>
  <si>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</si>
  <si>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</si>
  <si>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</si>
  <si>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</si>
  <si>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</si>
  <si>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</si>
  <si>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</si>
  <si>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</si>
  <si>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</si>
  <si>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</si>
  <si>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</si>
  <si>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</si>
  <si>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</si>
  <si>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</si>
  <si>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</si>
  <si>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</si>
  <si>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</si>
  <si>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</si>
  <si>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</si>
  <si>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</si>
  <si>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</si>
  <si>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</si>
  <si>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</si>
  <si>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</si>
  <si>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</si>
  <si>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</si>
  <si>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</si>
  <si>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</si>
  <si>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</si>
  <si>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</si>
  <si>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</si>
  <si>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</si>
  <si>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</si>
  <si>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</si>
  <si>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</si>
  <si>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</si>
  <si>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</si>
  <si>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</si>
  <si>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</si>
  <si>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</si>
  <si>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</si>
  <si>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</si>
  <si>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</si>
  <si>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</si>
  <si>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</si>
  <si>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</si>
  <si>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</si>
  <si>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</si>
  <si>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</si>
  <si>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</si>
  <si>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</si>
  <si>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</si>
  <si>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</si>
  <si>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</si>
  <si>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</si>
  <si>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</si>
  <si>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</si>
  <si>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</si>
  <si>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</si>
  <si>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</si>
  <si>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</si>
  <si>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</si>
  <si>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</si>
  <si>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</si>
  <si>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</si>
  <si>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</si>
  <si>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</si>
  <si>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</si>
  <si>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</si>
  <si>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</si>
  <si>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</si>
  <si>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</si>
  <si>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</si>
  <si>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</si>
  <si>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</si>
  <si>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</si>
  <si>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</si>
  <si>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</si>
  <si>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</si>
  <si>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</si>
  <si>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</si>
  <si>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</si>
  <si>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</si>
  <si>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</si>
  <si>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</si>
  <si>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</si>
  <si>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</si>
  <si>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</si>
  <si>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</si>
  <si>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</si>
  <si>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</si>
  <si>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</si>
  <si>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</si>
  <si>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</si>
  <si>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</si>
  <si>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</si>
  <si>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</si>
  <si>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</si>
  <si>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</si>
  <si>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</si>
  <si>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</si>
  <si>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</si>
  <si>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</si>
  <si>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</si>
  <si>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</si>
  <si>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</si>
  <si>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</si>
  <si>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</si>
  <si>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</si>
  <si>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</si>
  <si>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</si>
  <si>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</si>
  <si>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</si>
  <si>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</si>
  <si>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</si>
  <si>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</si>
  <si>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</si>
  <si>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</si>
  <si>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</si>
  <si>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</si>
  <si>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</si>
  <si>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</si>
  <si>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</si>
  <si>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</si>
  <si>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</si>
  <si>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</si>
  <si>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</si>
  <si>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</si>
  <si>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</si>
  <si>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</si>
  <si>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</si>
  <si>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</si>
  <si>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</si>
  <si>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</si>
  <si>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</si>
  <si>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</si>
  <si>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</si>
  <si>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</si>
  <si>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</si>
  <si>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</si>
  <si>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</si>
  <si>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</si>
  <si>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</si>
  <si>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</si>
  <si>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</si>
  <si>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</si>
  <si>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</si>
  <si>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</si>
  <si>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</si>
  <si>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</si>
  <si>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</si>
  <si>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</si>
  <si>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</si>
  <si>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</si>
  <si>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</si>
  <si>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</si>
  <si>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</si>
  <si>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</si>
  <si>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</si>
  <si>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</si>
  <si>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</si>
  <si>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</si>
  <si>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</si>
  <si>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</si>
  <si>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</si>
  <si>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</si>
  <si>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</si>
  <si>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</si>
  <si>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</si>
  <si>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</si>
  <si>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</si>
  <si>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</si>
  <si>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</si>
  <si>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</si>
  <si>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</si>
  <si>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</si>
  <si>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</si>
  <si>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</si>
  <si>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</si>
  <si>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</si>
  <si>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</si>
  <si>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</si>
  <si>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</si>
  <si>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</si>
  <si>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</si>
  <si>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</si>
  <si>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</si>
  <si>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</si>
  <si>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</si>
  <si>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</si>
  <si>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</si>
  <si>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</si>
  <si>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</si>
  <si>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</si>
  <si>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</si>
  <si>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</si>
  <si>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</si>
  <si>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</si>
  <si>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</si>
  <si>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</si>
  <si>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</si>
  <si>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</si>
  <si>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</si>
  <si>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</si>
  <si>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</si>
  <si>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</si>
  <si>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</si>
  <si>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</si>
  <si>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</si>
  <si>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</si>
  <si>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</si>
  <si>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</si>
  <si>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</si>
  <si>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</si>
  <si>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</si>
  <si>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</si>
  <si>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</si>
  <si>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</si>
  <si>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</si>
  <si>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</si>
  <si>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</si>
  <si>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</si>
  <si>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</si>
  <si>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</si>
  <si>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</si>
  <si>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</si>
  <si>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</si>
  <si>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</si>
  <si>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</si>
  <si>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</si>
  <si>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</si>
  <si>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</si>
  <si>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</si>
  <si>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</si>
  <si>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</si>
  <si>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</si>
  <si>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</si>
  <si>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</si>
  <si>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</si>
  <si>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</si>
  <si>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</si>
  <si>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</si>
  <si>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</si>
  <si>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</si>
  <si>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</si>
  <si>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</si>
  <si>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</si>
  <si>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</si>
  <si>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</si>
  <si>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</si>
  <si>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</si>
  <si>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</si>
  <si>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</si>
  <si>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</si>
  <si>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</si>
  <si>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</si>
  <si>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</si>
  <si>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</si>
  <si>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</si>
  <si>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</si>
  <si>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</si>
  <si>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</si>
  <si>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</si>
  <si>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</si>
  <si>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</si>
  <si>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</si>
  <si>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</si>
  <si>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</si>
  <si>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</si>
  <si>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</si>
  <si>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</si>
  <si>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</si>
  <si>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</si>
  <si>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</si>
  <si>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</si>
  <si>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</si>
  <si>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</si>
  <si>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</si>
  <si>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</si>
  <si>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</si>
  <si>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</si>
  <si>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</si>
  <si>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</si>
  <si>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</si>
  <si>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</si>
  <si>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</si>
  <si>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</si>
  <si>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</si>
  <si>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</si>
  <si>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</si>
  <si>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</si>
  <si>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</si>
  <si>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</si>
  <si>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</si>
  <si>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</si>
  <si>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</si>
  <si>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</si>
  <si>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</si>
  <si>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</si>
  <si>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</si>
  <si>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</si>
  <si>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</si>
  <si>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</si>
  <si>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</si>
  <si>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</si>
  <si>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</si>
  <si>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</si>
  <si>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</si>
  <si>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</si>
  <si>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</si>
  <si>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</si>
  <si>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</si>
  <si>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</si>
  <si>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</si>
  <si>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</si>
  <si>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</si>
  <si>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</si>
  <si>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</si>
  <si>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</si>
  <si>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</si>
  <si>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</si>
  <si>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</si>
  <si>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</si>
  <si>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</si>
  <si>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</si>
  <si>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</si>
  <si>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</si>
  <si>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</si>
  <si>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</si>
  <si>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</si>
  <si>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</si>
  <si>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</si>
  <si>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</si>
  <si>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</si>
  <si>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</si>
  <si>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</si>
  <si>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</si>
  <si>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</si>
  <si>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</si>
  <si>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</si>
  <si>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</si>
  <si>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</si>
  <si>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</si>
  <si>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</si>
  <si>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</si>
  <si>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</si>
  <si>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</si>
  <si>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</si>
  <si>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</si>
  <si>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</si>
  <si>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</si>
  <si>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</si>
  <si>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</si>
  <si>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</si>
  <si>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</si>
  <si>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</si>
  <si>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</si>
  <si>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</si>
  <si>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</si>
  <si>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</si>
  <si>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</si>
  <si>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</si>
  <si>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</si>
  <si>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</si>
  <si>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</si>
  <si>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</si>
  <si>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</si>
  <si>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</si>
  <si>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</si>
  <si>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</si>
  <si>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</si>
  <si>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</si>
  <si>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</si>
  <si>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</si>
  <si>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</si>
  <si>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</si>
  <si>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</si>
  <si>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</si>
  <si>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</si>
  <si>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</si>
  <si>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</si>
  <si>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</si>
  <si>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</si>
  <si>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</si>
  <si>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</si>
  <si>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</si>
  <si>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</si>
  <si>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</si>
  <si>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</si>
  <si>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</si>
  <si>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</si>
  <si>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</si>
  <si>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</si>
  <si>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</si>
  <si>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</si>
  <si>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</si>
  <si>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</si>
  <si>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</si>
  <si>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</si>
  <si>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</si>
  <si>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</si>
  <si>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</si>
  <si>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</si>
  <si>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</si>
  <si>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</si>
  <si>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</si>
  <si>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</si>
  <si>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</si>
  <si>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</si>
  <si>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</si>
  <si>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</si>
  <si>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</si>
  <si>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</si>
  <si>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</si>
  <si>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</si>
  <si>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</si>
  <si>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</si>
  <si>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</si>
  <si>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</si>
  <si>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</si>
  <si>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</si>
  <si>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</si>
  <si>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</si>
  <si>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</si>
  <si>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</si>
  <si>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</si>
  <si>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</si>
  <si>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</si>
  <si>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</si>
  <si>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</si>
  <si>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</si>
  <si>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</si>
  <si>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</si>
  <si>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</si>
  <si>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</si>
  <si>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</si>
  <si>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</si>
  <si>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</si>
  <si>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</si>
  <si>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</si>
  <si>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</si>
  <si>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</si>
  <si>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</si>
  <si>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</si>
  <si>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</si>
  <si>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</si>
  <si>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</si>
  <si>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</si>
  <si>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</si>
  <si>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</si>
  <si>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</si>
  <si>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</si>
  <si>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</si>
  <si>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</si>
  <si>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</si>
  <si>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</si>
  <si>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</si>
  <si>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</si>
  <si>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</si>
  <si>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</si>
  <si>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</si>
  <si>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</si>
  <si>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</si>
  <si>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</si>
  <si>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</si>
  <si>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</si>
  <si>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</si>
  <si>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</si>
  <si>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</si>
  <si>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</si>
  <si>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</si>
  <si>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</si>
  <si>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</si>
  <si>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</si>
  <si>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</si>
  <si>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</si>
  <si>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</si>
  <si>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</si>
  <si>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</si>
  <si>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</si>
  <si>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</si>
  <si>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</si>
  <si>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</si>
  <si>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</si>
  <si>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</si>
  <si>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</si>
  <si>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</si>
  <si>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</si>
  <si>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</si>
  <si>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</si>
  <si>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</si>
  <si>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</si>
  <si>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</si>
  <si>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</si>
  <si>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</si>
  <si>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</si>
  <si>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</si>
  <si>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</si>
  <si>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</si>
  <si>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</si>
  <si>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</si>
  <si>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</si>
  <si>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</si>
  <si>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</si>
  <si>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</si>
  <si>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</si>
  <si>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</si>
  <si>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</si>
  <si>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</si>
  <si>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</si>
  <si>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</si>
  <si>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</si>
  <si>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</si>
  <si>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</si>
  <si>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</si>
  <si>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</si>
  <si>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</si>
  <si>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</si>
  <si>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</si>
  <si>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</si>
  <si>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</si>
  <si>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</si>
  <si>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</si>
  <si>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</si>
  <si>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</si>
  <si>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</si>
  <si>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</si>
  <si>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</si>
  <si>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</si>
  <si>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</si>
  <si>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</si>
  <si>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</si>
  <si>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</si>
  <si>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</si>
  <si>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</si>
  <si>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</si>
  <si>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</si>
  <si>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</si>
  <si>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</si>
  <si>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</si>
  <si>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</si>
  <si>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</si>
  <si>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</si>
  <si>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</si>
  <si>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</si>
  <si>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</si>
  <si>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</si>
  <si>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</si>
  <si>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</si>
  <si>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</si>
  <si>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</si>
  <si>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</si>
  <si>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</si>
  <si>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</si>
  <si>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</si>
  <si>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</si>
  <si>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</si>
  <si>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</si>
  <si>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</si>
  <si>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</si>
  <si>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</si>
  <si>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</si>
  <si>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</si>
  <si>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</si>
  <si>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</si>
  <si>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</si>
  <si>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</si>
  <si>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</si>
  <si>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</si>
  <si>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</si>
  <si>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</si>
  <si>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</si>
  <si>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</si>
  <si>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</si>
  <si>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</si>
  <si>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</si>
  <si>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</si>
  <si>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</si>
  <si>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</si>
  <si>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</si>
  <si>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</si>
  <si>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</si>
  <si>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</si>
  <si>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</si>
  <si>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</si>
  <si>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</si>
  <si>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</si>
  <si>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</si>
  <si>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</si>
  <si>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</si>
  <si>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</si>
  <si>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</si>
  <si>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</si>
  <si>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</si>
  <si>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</si>
  <si>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</si>
  <si>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</si>
  <si>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</si>
  <si>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</si>
  <si>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</si>
  <si>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</si>
  <si>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</si>
  <si>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</si>
  <si>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</si>
  <si>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</si>
  <si>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</si>
  <si>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</si>
  <si>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</si>
  <si>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</si>
  <si>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</si>
  <si>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</si>
  <si>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</si>
  <si>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</si>
  <si>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</si>
  <si>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</si>
  <si>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</si>
  <si>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</si>
  <si>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</si>
  <si>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</si>
  <si>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</si>
  <si>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</si>
  <si>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</si>
  <si>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</si>
  <si>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</si>
  <si>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</si>
  <si>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</si>
  <si>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</si>
  <si>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</si>
  <si>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</si>
  <si>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</si>
  <si>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</si>
  <si>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</si>
  <si>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</si>
  <si>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</si>
  <si>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</si>
  <si>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</si>
  <si>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</si>
  <si>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</si>
  <si>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</si>
  <si>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</si>
  <si>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</si>
  <si>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</si>
  <si>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</si>
  <si>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</si>
  <si>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</si>
  <si>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</si>
  <si>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</si>
  <si>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</si>
  <si>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</si>
  <si>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</si>
  <si>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</si>
  <si>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</si>
  <si>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</si>
  <si>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</si>
  <si>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</si>
  <si>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</si>
  <si>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</si>
  <si>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</si>
  <si>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</si>
  <si>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</si>
  <si>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</si>
  <si>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</si>
  <si>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</si>
  <si>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</si>
  <si>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</si>
  <si>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</si>
  <si>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</si>
  <si>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</si>
  <si>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</si>
  <si>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</si>
  <si>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</si>
  <si>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</si>
  <si>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</si>
  <si>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</si>
  <si>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</si>
  <si>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</si>
  <si>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</si>
  <si>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</si>
  <si>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</si>
  <si>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</si>
  <si>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</si>
  <si>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</si>
  <si>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</si>
  <si>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</si>
  <si>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</si>
  <si>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</si>
  <si>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</si>
  <si>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13016</t>
  </si>
  <si>
    <t>HULSHOUT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</si>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</sst>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91653.964644022155</c:v>
                </c:pt>
                <c:pt idx="1">
                  <c:v>17678.651439253514</c:v>
                </c:pt>
                <c:pt idx="2">
                  <c:v>805.14599999999996</c:v>
                </c:pt>
                <c:pt idx="3">
                  <c:v>3738.4405839735919</c:v>
                </c:pt>
                <c:pt idx="4">
                  <c:v>36928.461518742202</c:v>
                </c:pt>
                <c:pt idx="5">
                  <c:v>23931.987131156209</c:v>
                </c:pt>
                <c:pt idx="6">
                  <c:v>403.57969447220586</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62912"/>
        <c:axId val="183064448"/>
      </c:barChart>
      <c:catAx>
        <c:axId val="183062912"/>
        <c:scaling>
          <c:orientation val="minMax"/>
        </c:scaling>
        <c:axPos val="b"/>
        <c:numFmt formatCode="General" sourceLinked="0"/>
        <c:tickLblPos val="nextTo"/>
        <c:crossAx val="183064448"/>
        <c:crosses val="autoZero"/>
        <c:auto val="1"/>
        <c:lblAlgn val="ctr"/>
        <c:lblOffset val="100"/>
      </c:catAx>
      <c:valAx>
        <c:axId val="183064448"/>
        <c:scaling>
          <c:orientation val="minMax"/>
        </c:scaling>
        <c:axPos val="l"/>
        <c:majorGridlines/>
        <c:numFmt formatCode="#,##0" sourceLinked="1"/>
        <c:tickLblPos val="nextTo"/>
        <c:crossAx val="1830629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91653.964644022155</c:v>
                </c:pt>
                <c:pt idx="1">
                  <c:v>17678.651439253514</c:v>
                </c:pt>
                <c:pt idx="2">
                  <c:v>805.14599999999996</c:v>
                </c:pt>
                <c:pt idx="3">
                  <c:v>3738.4405839735919</c:v>
                </c:pt>
                <c:pt idx="4">
                  <c:v>36928.461518742202</c:v>
                </c:pt>
                <c:pt idx="5">
                  <c:v>23931.987131156209</c:v>
                </c:pt>
                <c:pt idx="6">
                  <c:v>403.57969447220586</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17344.635892781695</c:v>
                </c:pt>
                <c:pt idx="1">
                  <c:v>3478.5799928261536</c:v>
                </c:pt>
                <c:pt idx="2">
                  <c:v>159.47948040496007</c:v>
                </c:pt>
                <c:pt idx="3">
                  <c:v>908.22416694202548</c:v>
                </c:pt>
                <c:pt idx="4">
                  <c:v>7310.0146244288089</c:v>
                </c:pt>
                <c:pt idx="5">
                  <c:v>6112.1034039581</c:v>
                </c:pt>
                <c:pt idx="6">
                  <c:v>104.51398832311847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75296"/>
      </c:barChart>
      <c:catAx>
        <c:axId val="183405568"/>
        <c:scaling>
          <c:orientation val="minMax"/>
        </c:scaling>
        <c:axPos val="b"/>
        <c:numFmt formatCode="General" sourceLinked="0"/>
        <c:tickLblPos val="nextTo"/>
        <c:crossAx val="183575296"/>
        <c:crosses val="autoZero"/>
        <c:auto val="1"/>
        <c:lblAlgn val="ctr"/>
        <c:lblOffset val="100"/>
      </c:catAx>
      <c:valAx>
        <c:axId val="183575296"/>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17344.635892781695</c:v>
                </c:pt>
                <c:pt idx="1">
                  <c:v>3478.5799928261536</c:v>
                </c:pt>
                <c:pt idx="2">
                  <c:v>159.47948040496007</c:v>
                </c:pt>
                <c:pt idx="3">
                  <c:v>908.22416694202548</c:v>
                </c:pt>
                <c:pt idx="4">
                  <c:v>7310.0146244288089</c:v>
                </c:pt>
                <c:pt idx="5">
                  <c:v>6112.1034039581</c:v>
                </c:pt>
                <c:pt idx="6">
                  <c:v>104.51398832311847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13016</v>
      </c>
      <c r="B6" s="415"/>
      <c r="C6" s="416"/>
    </row>
    <row r="7" spans="1:7" s="413" customFormat="1" ht="15.75" customHeight="1">
      <c r="A7" s="417" t="str">
        <f>txtMunicipality</f>
        <v>HULSHOUT</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8173.7191525629996</v>
      </c>
      <c r="D10" s="718">
        <f ca="1">tertiair!C16</f>
        <v>0</v>
      </c>
      <c r="E10" s="718">
        <f ca="1">tertiair!D16</f>
        <v>7229.4968837014003</v>
      </c>
      <c r="F10" s="718">
        <f>tertiair!E16</f>
        <v>150.44558551892493</v>
      </c>
      <c r="G10" s="718">
        <f ca="1">tertiair!F16</f>
        <v>1964.5641977695027</v>
      </c>
      <c r="H10" s="718">
        <f>tertiair!G16</f>
        <v>0</v>
      </c>
      <c r="I10" s="718">
        <f>tertiair!H16</f>
        <v>0</v>
      </c>
      <c r="J10" s="718">
        <f>tertiair!I16</f>
        <v>0</v>
      </c>
      <c r="K10" s="718">
        <f>tertiair!J16</f>
        <v>0</v>
      </c>
      <c r="L10" s="718">
        <f>tertiair!K16</f>
        <v>0</v>
      </c>
      <c r="M10" s="718">
        <f ca="1">tertiair!L16</f>
        <v>0</v>
      </c>
      <c r="N10" s="718">
        <f>tertiair!M16</f>
        <v>0</v>
      </c>
      <c r="O10" s="718">
        <f ca="1">tertiair!N16</f>
        <v>965.57161970068614</v>
      </c>
      <c r="P10" s="718">
        <f>tertiair!O16</f>
        <v>0</v>
      </c>
      <c r="Q10" s="719">
        <f>tertiair!P16</f>
        <v>0</v>
      </c>
      <c r="R10" s="721">
        <f ca="1">SUM(C10:Q10)</f>
        <v>18483.797439253514</v>
      </c>
      <c r="S10" s="67"/>
    </row>
    <row r="11" spans="1:19" s="474" customFormat="1">
      <c r="A11" s="870" t="s">
        <v>225</v>
      </c>
      <c r="B11" s="875"/>
      <c r="C11" s="718">
        <f>huishoudens!B8</f>
        <v>18056.00745521464</v>
      </c>
      <c r="D11" s="718">
        <f>huishoudens!C8</f>
        <v>0</v>
      </c>
      <c r="E11" s="718">
        <f>huishoudens!D8</f>
        <v>29156.667917079998</v>
      </c>
      <c r="F11" s="718">
        <f>huishoudens!E8</f>
        <v>6780.0444817048083</v>
      </c>
      <c r="G11" s="718">
        <f>huishoudens!F8</f>
        <v>23743.337146440186</v>
      </c>
      <c r="H11" s="718">
        <f>huishoudens!G8</f>
        <v>0</v>
      </c>
      <c r="I11" s="718">
        <f>huishoudens!H8</f>
        <v>0</v>
      </c>
      <c r="J11" s="718">
        <f>huishoudens!I8</f>
        <v>0</v>
      </c>
      <c r="K11" s="718">
        <f>huishoudens!J8</f>
        <v>0</v>
      </c>
      <c r="L11" s="718">
        <f>huishoudens!K8</f>
        <v>0</v>
      </c>
      <c r="M11" s="718">
        <f>huishoudens!L8</f>
        <v>0</v>
      </c>
      <c r="N11" s="718">
        <f>huishoudens!M8</f>
        <v>0</v>
      </c>
      <c r="O11" s="718">
        <f>huishoudens!N8</f>
        <v>13238.344310249195</v>
      </c>
      <c r="P11" s="718">
        <f>huishoudens!O8</f>
        <v>126.63</v>
      </c>
      <c r="Q11" s="719">
        <f>huishoudens!P8</f>
        <v>552.93333333333339</v>
      </c>
      <c r="R11" s="721">
        <f>SUM(C11:Q11)</f>
        <v>91653.964644022155</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5802.8737160350001</v>
      </c>
      <c r="D13" s="718">
        <f>industrie!C18</f>
        <v>0</v>
      </c>
      <c r="E13" s="718">
        <f>industrie!D18</f>
        <v>27434.728325860902</v>
      </c>
      <c r="F13" s="718">
        <f>industrie!E18</f>
        <v>488.55219424595509</v>
      </c>
      <c r="G13" s="718">
        <f>industrie!F18</f>
        <v>1852.6781774842684</v>
      </c>
      <c r="H13" s="718">
        <f>industrie!G18</f>
        <v>0</v>
      </c>
      <c r="I13" s="718">
        <f>industrie!H18</f>
        <v>0</v>
      </c>
      <c r="J13" s="718">
        <f>industrie!I18</f>
        <v>0</v>
      </c>
      <c r="K13" s="718">
        <f>industrie!J18</f>
        <v>37.365892641403327</v>
      </c>
      <c r="L13" s="718">
        <f>industrie!K18</f>
        <v>0</v>
      </c>
      <c r="M13" s="718">
        <f>industrie!L18</f>
        <v>0</v>
      </c>
      <c r="N13" s="718">
        <f>industrie!M18</f>
        <v>0</v>
      </c>
      <c r="O13" s="718">
        <f>industrie!N18</f>
        <v>1312.2632124746751</v>
      </c>
      <c r="P13" s="718">
        <f>industrie!O18</f>
        <v>0</v>
      </c>
      <c r="Q13" s="719">
        <f>industrie!P18</f>
        <v>0</v>
      </c>
      <c r="R13" s="721">
        <f>SUM(C13:Q13)</f>
        <v>36928.461518742202</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32032.60032381264</v>
      </c>
      <c r="D15" s="723">
        <f t="shared" ref="D15:Q15" ca="1" si="0">SUM(D9:D14)</f>
        <v>0</v>
      </c>
      <c r="E15" s="723">
        <f t="shared" ca="1" si="0"/>
        <v>63820.893126642302</v>
      </c>
      <c r="F15" s="723">
        <f t="shared" si="0"/>
        <v>7419.042261469689</v>
      </c>
      <c r="G15" s="723">
        <f t="shared" ca="1" si="0"/>
        <v>27560.579521693955</v>
      </c>
      <c r="H15" s="723">
        <f t="shared" si="0"/>
        <v>0</v>
      </c>
      <c r="I15" s="723">
        <f t="shared" si="0"/>
        <v>0</v>
      </c>
      <c r="J15" s="723">
        <f t="shared" si="0"/>
        <v>0</v>
      </c>
      <c r="K15" s="723">
        <f t="shared" si="0"/>
        <v>37.365892641403327</v>
      </c>
      <c r="L15" s="723">
        <f t="shared" si="0"/>
        <v>0</v>
      </c>
      <c r="M15" s="723">
        <f t="shared" ca="1" si="0"/>
        <v>0</v>
      </c>
      <c r="N15" s="723">
        <f t="shared" si="0"/>
        <v>0</v>
      </c>
      <c r="O15" s="723">
        <f t="shared" ca="1" si="0"/>
        <v>15516.179142424557</v>
      </c>
      <c r="P15" s="723">
        <f t="shared" si="0"/>
        <v>126.63</v>
      </c>
      <c r="Q15" s="724">
        <f t="shared" si="0"/>
        <v>552.93333333333339</v>
      </c>
      <c r="R15" s="725">
        <f ca="1">SUM(R9:R14)</f>
        <v>147066.22360201785</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391.43815851355231</v>
      </c>
      <c r="I18" s="718">
        <f>transport!H54</f>
        <v>0</v>
      </c>
      <c r="J18" s="718">
        <f>transport!I54</f>
        <v>0</v>
      </c>
      <c r="K18" s="718">
        <f>transport!J54</f>
        <v>0</v>
      </c>
      <c r="L18" s="718">
        <f>transport!K54</f>
        <v>0</v>
      </c>
      <c r="M18" s="718">
        <f>transport!L54</f>
        <v>0</v>
      </c>
      <c r="N18" s="718">
        <f>transport!M54</f>
        <v>12.141535958653552</v>
      </c>
      <c r="O18" s="718">
        <f>transport!N54</f>
        <v>0</v>
      </c>
      <c r="P18" s="718">
        <f>transport!O54</f>
        <v>0</v>
      </c>
      <c r="Q18" s="719">
        <f>transport!P54</f>
        <v>0</v>
      </c>
      <c r="R18" s="721">
        <f>SUM(C18:Q18)</f>
        <v>403.57969447220586</v>
      </c>
      <c r="S18" s="67"/>
    </row>
    <row r="19" spans="1:19" s="474" customFormat="1" ht="15" thickBot="1">
      <c r="A19" s="870" t="s">
        <v>307</v>
      </c>
      <c r="B19" s="875"/>
      <c r="C19" s="727">
        <f>transport!B14</f>
        <v>7.46303288511929</v>
      </c>
      <c r="D19" s="727">
        <f>transport!C14</f>
        <v>0</v>
      </c>
      <c r="E19" s="727">
        <f>transport!D14</f>
        <v>16.730092905686398</v>
      </c>
      <c r="F19" s="727">
        <f>transport!E14</f>
        <v>64.546770138061675</v>
      </c>
      <c r="G19" s="727">
        <f>transport!F14</f>
        <v>0</v>
      </c>
      <c r="H19" s="727">
        <f>transport!G14</f>
        <v>18627.120011353036</v>
      </c>
      <c r="I19" s="727">
        <f>transport!H14</f>
        <v>4494.588447275295</v>
      </c>
      <c r="J19" s="727">
        <f>transport!I14</f>
        <v>0</v>
      </c>
      <c r="K19" s="727">
        <f>transport!J14</f>
        <v>0</v>
      </c>
      <c r="L19" s="727">
        <f>transport!K14</f>
        <v>0</v>
      </c>
      <c r="M19" s="727">
        <f>transport!L14</f>
        <v>0</v>
      </c>
      <c r="N19" s="727">
        <f>transport!M14</f>
        <v>721.53877659901423</v>
      </c>
      <c r="O19" s="727">
        <f>transport!N14</f>
        <v>0</v>
      </c>
      <c r="P19" s="727">
        <f>transport!O14</f>
        <v>0</v>
      </c>
      <c r="Q19" s="728">
        <f>transport!P14</f>
        <v>0</v>
      </c>
      <c r="R19" s="729">
        <f>SUM(C19:Q19)</f>
        <v>23931.987131156209</v>
      </c>
      <c r="S19" s="67"/>
    </row>
    <row r="20" spans="1:19" s="474" customFormat="1" ht="15.75" thickBot="1">
      <c r="A20" s="730" t="s">
        <v>230</v>
      </c>
      <c r="B20" s="878"/>
      <c r="C20" s="873">
        <f>SUM(C17:C19)</f>
        <v>7.46303288511929</v>
      </c>
      <c r="D20" s="731">
        <f t="shared" ref="D20:R20" si="1">SUM(D17:D19)</f>
        <v>0</v>
      </c>
      <c r="E20" s="731">
        <f t="shared" si="1"/>
        <v>16.730092905686398</v>
      </c>
      <c r="F20" s="731">
        <f t="shared" si="1"/>
        <v>64.546770138061675</v>
      </c>
      <c r="G20" s="731">
        <f t="shared" si="1"/>
        <v>0</v>
      </c>
      <c r="H20" s="731">
        <f t="shared" si="1"/>
        <v>19018.558169866588</v>
      </c>
      <c r="I20" s="731">
        <f t="shared" si="1"/>
        <v>4494.588447275295</v>
      </c>
      <c r="J20" s="731">
        <f t="shared" si="1"/>
        <v>0</v>
      </c>
      <c r="K20" s="731">
        <f t="shared" si="1"/>
        <v>0</v>
      </c>
      <c r="L20" s="731">
        <f t="shared" si="1"/>
        <v>0</v>
      </c>
      <c r="M20" s="731">
        <f t="shared" si="1"/>
        <v>0</v>
      </c>
      <c r="N20" s="731">
        <f t="shared" si="1"/>
        <v>733.68031255766778</v>
      </c>
      <c r="O20" s="731">
        <f t="shared" si="1"/>
        <v>0</v>
      </c>
      <c r="P20" s="731">
        <f t="shared" si="1"/>
        <v>0</v>
      </c>
      <c r="Q20" s="732">
        <f t="shared" si="1"/>
        <v>0</v>
      </c>
      <c r="R20" s="733">
        <f t="shared" si="1"/>
        <v>24335.566825628415</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597.444726737</v>
      </c>
      <c r="D22" s="727">
        <f>+landbouw!C8</f>
        <v>0</v>
      </c>
      <c r="E22" s="727">
        <f>+landbouw!D8</f>
        <v>855.80573495579813</v>
      </c>
      <c r="F22" s="727">
        <f>+landbouw!E8</f>
        <v>15.405805580007861</v>
      </c>
      <c r="G22" s="727">
        <f>+landbouw!F8</f>
        <v>2183.7742540449412</v>
      </c>
      <c r="H22" s="727">
        <f>+landbouw!G8</f>
        <v>0</v>
      </c>
      <c r="I22" s="727">
        <f>+landbouw!H8</f>
        <v>0</v>
      </c>
      <c r="J22" s="727">
        <f>+landbouw!I8</f>
        <v>0</v>
      </c>
      <c r="K22" s="727">
        <f>+landbouw!J8</f>
        <v>86.01006265584482</v>
      </c>
      <c r="L22" s="727">
        <f>+landbouw!K8</f>
        <v>0</v>
      </c>
      <c r="M22" s="727">
        <f>+landbouw!L8</f>
        <v>0</v>
      </c>
      <c r="N22" s="727">
        <f>+landbouw!M8</f>
        <v>0</v>
      </c>
      <c r="O22" s="727">
        <f>+landbouw!N8</f>
        <v>0</v>
      </c>
      <c r="P22" s="727">
        <f>+landbouw!O8</f>
        <v>0</v>
      </c>
      <c r="Q22" s="728">
        <f>+landbouw!P8</f>
        <v>0</v>
      </c>
      <c r="R22" s="729">
        <f>SUM(C22:Q22)</f>
        <v>3738.4405839735919</v>
      </c>
      <c r="S22" s="67"/>
    </row>
    <row r="23" spans="1:19" s="474" customFormat="1" ht="17.25" thickTop="1" thickBot="1">
      <c r="A23" s="734" t="s">
        <v>116</v>
      </c>
      <c r="B23" s="864"/>
      <c r="C23" s="735">
        <f ca="1">C20+C15+C22</f>
        <v>32637.508083434761</v>
      </c>
      <c r="D23" s="735">
        <f t="shared" ref="D23:Q23" ca="1" si="2">D20+D15+D22</f>
        <v>0</v>
      </c>
      <c r="E23" s="735">
        <f t="shared" ca="1" si="2"/>
        <v>64693.42895450379</v>
      </c>
      <c r="F23" s="735">
        <f t="shared" si="2"/>
        <v>7498.994837187759</v>
      </c>
      <c r="G23" s="735">
        <f t="shared" ca="1" si="2"/>
        <v>29744.353775738895</v>
      </c>
      <c r="H23" s="735">
        <f t="shared" si="2"/>
        <v>19018.558169866588</v>
      </c>
      <c r="I23" s="735">
        <f t="shared" si="2"/>
        <v>4494.588447275295</v>
      </c>
      <c r="J23" s="735">
        <f t="shared" si="2"/>
        <v>0</v>
      </c>
      <c r="K23" s="735">
        <f t="shared" si="2"/>
        <v>123.37595529724814</v>
      </c>
      <c r="L23" s="735">
        <f t="shared" si="2"/>
        <v>0</v>
      </c>
      <c r="M23" s="735">
        <f t="shared" ca="1" si="2"/>
        <v>0</v>
      </c>
      <c r="N23" s="735">
        <f t="shared" si="2"/>
        <v>733.68031255766778</v>
      </c>
      <c r="O23" s="735">
        <f t="shared" ca="1" si="2"/>
        <v>15516.179142424557</v>
      </c>
      <c r="P23" s="735">
        <f t="shared" si="2"/>
        <v>126.63</v>
      </c>
      <c r="Q23" s="736">
        <f t="shared" si="2"/>
        <v>552.93333333333339</v>
      </c>
      <c r="R23" s="737">
        <f ca="1">R20+R15+R22</f>
        <v>175140.23101161988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1619.0113140061776</v>
      </c>
      <c r="D36" s="718">
        <f ca="1">tertiair!C20</f>
        <v>0</v>
      </c>
      <c r="E36" s="718">
        <f ca="1">tertiair!D20</f>
        <v>1460.358370507683</v>
      </c>
      <c r="F36" s="718">
        <f>tertiair!E20</f>
        <v>34.151147912795963</v>
      </c>
      <c r="G36" s="718">
        <f ca="1">tertiair!F20</f>
        <v>524.53864080445726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3638.0594732311138</v>
      </c>
    </row>
    <row r="37" spans="1:18">
      <c r="A37" s="885" t="s">
        <v>225</v>
      </c>
      <c r="B37" s="892"/>
      <c r="C37" s="718">
        <f ca="1">huishoudens!B12</f>
        <v>3576.4478580850136</v>
      </c>
      <c r="D37" s="718">
        <f ca="1">huishoudens!C12</f>
        <v>0</v>
      </c>
      <c r="E37" s="718">
        <f>huishoudens!D12</f>
        <v>5889.64691925016</v>
      </c>
      <c r="F37" s="718">
        <f>huishoudens!E12</f>
        <v>1539.0700973469916</v>
      </c>
      <c r="G37" s="718">
        <f>huishoudens!F12</f>
        <v>6339.4710180995298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17344.635892781695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1149.4055551277181</v>
      </c>
      <c r="D39" s="718">
        <f ca="1">industrie!C22</f>
        <v>0</v>
      </c>
      <c r="E39" s="718">
        <f>industrie!D22</f>
        <v>5541.8151218239027</v>
      </c>
      <c r="F39" s="718">
        <f>industrie!E22</f>
        <v>110.90134809383181</v>
      </c>
      <c r="G39" s="718">
        <f>industrie!F22</f>
        <v>494.66507338829967</v>
      </c>
      <c r="H39" s="718">
        <f>industrie!G22</f>
        <v>0</v>
      </c>
      <c r="I39" s="718">
        <f>industrie!H22</f>
        <v>0</v>
      </c>
      <c r="J39" s="718">
        <f>industrie!I22</f>
        <v>0</v>
      </c>
      <c r="K39" s="718">
        <f>industrie!J22</f>
        <v>13.227525995056777</v>
      </c>
      <c r="L39" s="718">
        <f>industrie!K22</f>
        <v>0</v>
      </c>
      <c r="M39" s="718">
        <f>industrie!L22</f>
        <v>0</v>
      </c>
      <c r="N39" s="718">
        <f>industrie!M22</f>
        <v>0</v>
      </c>
      <c r="O39" s="718">
        <f>industrie!N22</f>
        <v>0</v>
      </c>
      <c r="P39" s="718">
        <f>industrie!O22</f>
        <v>0</v>
      </c>
      <c r="Q39" s="828">
        <f>industrie!P22</f>
        <v>0</v>
      </c>
      <c r="R39" s="918">
        <f ca="1">SUM(C39:Q39)</f>
        <v>7310.0146244288089</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6344.8647272189091</v>
      </c>
      <c r="D41" s="763">
        <f t="shared" ref="D41:R41" ca="1" si="4">SUM(D35:D40)</f>
        <v>0</v>
      </c>
      <c r="E41" s="763">
        <f t="shared" ca="1" si="4"/>
        <v>12891.820411581746</v>
      </c>
      <c r="F41" s="763">
        <f t="shared" si="4"/>
        <v>1684.1225933536193</v>
      </c>
      <c r="G41" s="763">
        <f t="shared" ca="1" si="4"/>
        <v>7358.6747322922865</v>
      </c>
      <c r="H41" s="763">
        <f t="shared" si="4"/>
        <v>0</v>
      </c>
      <c r="I41" s="763">
        <f t="shared" si="4"/>
        <v>0</v>
      </c>
      <c r="J41" s="763">
        <f t="shared" si="4"/>
        <v>0</v>
      </c>
      <c r="K41" s="763">
        <f t="shared" si="4"/>
        <v>13.227525995056777</v>
      </c>
      <c r="L41" s="763">
        <f t="shared" si="4"/>
        <v>0</v>
      </c>
      <c r="M41" s="763">
        <f t="shared" ca="1" si="4"/>
        <v>0</v>
      </c>
      <c r="N41" s="763">
        <f t="shared" si="4"/>
        <v>0</v>
      </c>
      <c r="O41" s="763">
        <f t="shared" ca="1" si="4"/>
        <v>0</v>
      </c>
      <c r="P41" s="763">
        <f t="shared" si="4"/>
        <v>0</v>
      </c>
      <c r="Q41" s="764">
        <f t="shared" si="4"/>
        <v>0</v>
      </c>
      <c r="R41" s="765">
        <f t="shared" ca="1" si="4"/>
        <v>28292.709990441617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104.51398832311847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104.51398832311847</v>
      </c>
    </row>
    <row r="45" spans="1:18" ht="15" thickBot="1">
      <c r="A45" s="888" t="s">
        <v>307</v>
      </c>
      <c r="B45" s="898"/>
      <c r="C45" s="727">
        <f ca="1">transport!B18</f>
        <v>1.4782419670022016</v>
      </c>
      <c r="D45" s="727">
        <f>transport!C18</f>
        <v>0</v>
      </c>
      <c r="E45" s="727">
        <f>transport!D18</f>
        <v>3.3794787669486528</v>
      </c>
      <c r="F45" s="727">
        <f>transport!E18</f>
        <v>14.65211682134</v>
      </c>
      <c r="G45" s="727">
        <f>transport!F18</f>
        <v>0</v>
      </c>
      <c r="H45" s="727">
        <f>transport!G18</f>
        <v>4973.441043031261</v>
      </c>
      <c r="I45" s="727">
        <f>transport!H18</f>
        <v>1119.1525233715486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6112.1034039581</v>
      </c>
    </row>
    <row r="46" spans="1:18" ht="15.75" thickBot="1">
      <c r="A46" s="886" t="s">
        <v>230</v>
      </c>
      <c r="B46" s="899"/>
      <c r="C46" s="763">
        <f t="shared" ref="C46:R46" ca="1" si="5">SUM(C43:C45)</f>
        <v>1.4782419670022016</v>
      </c>
      <c r="D46" s="763">
        <f t="shared" ca="1" si="5"/>
        <v>0</v>
      </c>
      <c r="E46" s="763">
        <f t="shared" si="5"/>
        <v>3.3794787669486528</v>
      </c>
      <c r="F46" s="763">
        <f t="shared" si="5"/>
        <v>14.65211682134</v>
      </c>
      <c r="G46" s="763">
        <f t="shared" si="5"/>
        <v>0</v>
      </c>
      <c r="H46" s="763">
        <f t="shared" si="5"/>
        <v>5077.9550313543796</v>
      </c>
      <c r="I46" s="763">
        <f t="shared" si="5"/>
        <v>1119.1525233715486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6216.6173922812186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118.33900260412413</v>
      </c>
      <c r="D48" s="718">
        <f ca="1">+landbouw!C12</f>
        <v>0</v>
      </c>
      <c r="E48" s="718">
        <f>+landbouw!D12</f>
        <v>172.87275846107124</v>
      </c>
      <c r="F48" s="718">
        <f>+landbouw!E12</f>
        <v>3.4971178666617848</v>
      </c>
      <c r="G48" s="718">
        <f>+landbouw!F12</f>
        <v>583.06772582999929</v>
      </c>
      <c r="H48" s="718">
        <f>+landbouw!G12</f>
        <v>0</v>
      </c>
      <c r="I48" s="718">
        <f>+landbouw!H12</f>
        <v>0</v>
      </c>
      <c r="J48" s="718">
        <f>+landbouw!I12</f>
        <v>0</v>
      </c>
      <c r="K48" s="718">
        <f>+landbouw!J12</f>
        <v>30.447562180169065</v>
      </c>
      <c r="L48" s="718">
        <f>+landbouw!K12</f>
        <v>0</v>
      </c>
      <c r="M48" s="718">
        <f>+landbouw!L12</f>
        <v>0</v>
      </c>
      <c r="N48" s="718">
        <f>+landbouw!M12</f>
        <v>0</v>
      </c>
      <c r="O48" s="718">
        <f>+landbouw!N12</f>
        <v>0</v>
      </c>
      <c r="P48" s="718">
        <f>+landbouw!O12</f>
        <v>0</v>
      </c>
      <c r="Q48" s="719">
        <f>+landbouw!P12</f>
        <v>0</v>
      </c>
      <c r="R48" s="761">
        <f ca="1">SUM(C48:Q48)</f>
        <v>908.22416694202548</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6464.6819717900353</v>
      </c>
      <c r="D53" s="773">
        <f t="shared" ref="D53:Q53" ca="1" si="6">D41+D46+D48</f>
        <v>0</v>
      </c>
      <c r="E53" s="773">
        <f t="shared" ca="1" si="6"/>
        <v>13068.072648809766</v>
      </c>
      <c r="F53" s="773">
        <f t="shared" si="6"/>
        <v>1702.2718280416211</v>
      </c>
      <c r="G53" s="773">
        <f t="shared" ca="1" si="6"/>
        <v>7941.7424581222858</v>
      </c>
      <c r="H53" s="773">
        <f t="shared" si="6"/>
        <v>5077.9550313543796</v>
      </c>
      <c r="I53" s="773">
        <f t="shared" si="6"/>
        <v>1119.1525233715486</v>
      </c>
      <c r="J53" s="773">
        <f t="shared" si="6"/>
        <v>0</v>
      </c>
      <c r="K53" s="773">
        <f t="shared" si="6"/>
        <v>43.675088175225838</v>
      </c>
      <c r="L53" s="773">
        <f t="shared" si="6"/>
        <v>0</v>
      </c>
      <c r="M53" s="773">
        <f t="shared" ca="1" si="6"/>
        <v>0</v>
      </c>
      <c r="N53" s="773">
        <f t="shared" si="6"/>
        <v>0</v>
      </c>
      <c r="O53" s="773">
        <f t="shared" ca="1" si="6"/>
        <v>0</v>
      </c>
      <c r="P53" s="773">
        <f>P41+P46+P48</f>
        <v>0</v>
      </c>
      <c r="Q53" s="774">
        <f t="shared" si="6"/>
        <v>0</v>
      </c>
      <c r="R53" s="775">
        <f ca="1">R41+R46+R48</f>
        <v>35417.551549664859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0.19807523157906773</v>
      </c>
      <c r="D55" s="836">
        <f t="shared" ca="1" si="7"/>
        <v>0</v>
      </c>
      <c r="E55" s="836">
        <f t="shared" ca="1" si="7"/>
        <v>0.20200000000000001</v>
      </c>
      <c r="F55" s="836">
        <f t="shared" si="7"/>
        <v>0.22699999999999998</v>
      </c>
      <c r="G55" s="836">
        <f t="shared" ca="1" si="7"/>
        <v>0.26700000000000002</v>
      </c>
      <c r="H55" s="836">
        <f t="shared" si="7"/>
        <v>0.26700000000000002</v>
      </c>
      <c r="I55" s="836">
        <f t="shared" si="7"/>
        <v>0.24900000000000003</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3385.5534599504344</v>
      </c>
      <c r="C66" s="795">
        <f>'lokale energieproductie'!B6</f>
        <v>3385.5534599504344</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3385.5534599504344</v>
      </c>
      <c r="C69" s="803">
        <f>SUM(C64:C68)</f>
        <v>3385.5534599504344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18056.00745521464</v>
      </c>
      <c r="C4" s="478">
        <f>huishoudens!C8</f>
        <v>0</v>
      </c>
      <c r="D4" s="478">
        <f>huishoudens!D8</f>
        <v>29156.667917079998</v>
      </c>
      <c r="E4" s="478">
        <f>huishoudens!E8</f>
        <v>6780.0444817048083</v>
      </c>
      <c r="F4" s="478">
        <f>huishoudens!F8</f>
        <v>23743.337146440186</v>
      </c>
      <c r="G4" s="478">
        <f>huishoudens!G8</f>
        <v>0</v>
      </c>
      <c r="H4" s="478">
        <f>huishoudens!H8</f>
        <v>0</v>
      </c>
      <c r="I4" s="478">
        <f>huishoudens!I8</f>
        <v>0</v>
      </c>
      <c r="J4" s="478">
        <f>huishoudens!J8</f>
        <v>0</v>
      </c>
      <c r="K4" s="478">
        <f>huishoudens!K8</f>
        <v>0</v>
      </c>
      <c r="L4" s="478">
        <f>huishoudens!L8</f>
        <v>0</v>
      </c>
      <c r="M4" s="478">
        <f>huishoudens!M8</f>
        <v>0</v>
      </c>
      <c r="N4" s="478">
        <f>huishoudens!N8</f>
        <v>13238.344310249195</v>
      </c>
      <c r="O4" s="478">
        <f>huishoudens!O8</f>
        <v>126.63</v>
      </c>
      <c r="P4" s="479">
        <f>huishoudens!P8</f>
        <v>552.93333333333339</v>
      </c>
      <c r="Q4" s="480">
        <f>SUM(B4:P4)</f>
        <v>91653.964644022155</v>
      </c>
    </row>
    <row r="5" spans="1:17">
      <c r="A5" s="477" t="s">
        <v>156</v>
      </c>
      <c r="B5" s="478">
        <f ca="1">tertiair!B16</f>
        <v>7368.5731525629999</v>
      </c>
      <c r="C5" s="478">
        <f ca="1">tertiair!C16</f>
        <v>0</v>
      </c>
      <c r="D5" s="478">
        <f ca="1">tertiair!D16</f>
        <v>7229.4968837014003</v>
      </c>
      <c r="E5" s="478">
        <f>tertiair!E16</f>
        <v>150.44558551892493</v>
      </c>
      <c r="F5" s="478">
        <f ca="1">tertiair!F16</f>
        <v>1964.5641977695027</v>
      </c>
      <c r="G5" s="478">
        <f>tertiair!G16</f>
        <v>0</v>
      </c>
      <c r="H5" s="478">
        <f>tertiair!H16</f>
        <v>0</v>
      </c>
      <c r="I5" s="478">
        <f>tertiair!I16</f>
        <v>0</v>
      </c>
      <c r="J5" s="478">
        <f>tertiair!J16</f>
        <v>0</v>
      </c>
      <c r="K5" s="478">
        <f>tertiair!K16</f>
        <v>0</v>
      </c>
      <c r="L5" s="478">
        <f ca="1">tertiair!L16</f>
        <v>0</v>
      </c>
      <c r="M5" s="478">
        <f>tertiair!M16</f>
        <v>0</v>
      </c>
      <c r="N5" s="478">
        <f ca="1">tertiair!N16</f>
        <v>965.57161970068614</v>
      </c>
      <c r="O5" s="478">
        <f>tertiair!O16</f>
        <v>0</v>
      </c>
      <c r="P5" s="479">
        <f>tertiair!P16</f>
        <v>0</v>
      </c>
      <c r="Q5" s="477">
        <f t="shared" ref="Q5:Q13" ca="1" si="0">SUM(B5:P5)</f>
        <v>17678.651439253514</v>
      </c>
    </row>
    <row r="6" spans="1:17">
      <c r="A6" s="477" t="s">
        <v>194</v>
      </c>
      <c r="B6" s="478">
        <f>'openbare verlichting'!B8</f>
        <v>805.14599999999996</v>
      </c>
      <c r="C6" s="478"/>
      <c r="D6" s="478"/>
      <c r="E6" s="478"/>
      <c r="F6" s="478"/>
      <c r="G6" s="478"/>
      <c r="H6" s="478"/>
      <c r="I6" s="478"/>
      <c r="J6" s="478"/>
      <c r="K6" s="478"/>
      <c r="L6" s="478"/>
      <c r="M6" s="478"/>
      <c r="N6" s="478"/>
      <c r="O6" s="478"/>
      <c r="P6" s="479"/>
      <c r="Q6" s="477">
        <f t="shared" si="0"/>
        <v>805.14599999999996</v>
      </c>
    </row>
    <row r="7" spans="1:17">
      <c r="A7" s="477" t="s">
        <v>112</v>
      </c>
      <c r="B7" s="478">
        <f>landbouw!B8</f>
        <v>597.444726737</v>
      </c>
      <c r="C7" s="478">
        <f>landbouw!C8</f>
        <v>0</v>
      </c>
      <c r="D7" s="478">
        <f>landbouw!D8</f>
        <v>855.80573495579813</v>
      </c>
      <c r="E7" s="478">
        <f>landbouw!E8</f>
        <v>15.405805580007861</v>
      </c>
      <c r="F7" s="478">
        <f>landbouw!F8</f>
        <v>2183.7742540449412</v>
      </c>
      <c r="G7" s="478">
        <f>landbouw!G8</f>
        <v>0</v>
      </c>
      <c r="H7" s="478">
        <f>landbouw!H8</f>
        <v>0</v>
      </c>
      <c r="I7" s="478">
        <f>landbouw!I8</f>
        <v>0</v>
      </c>
      <c r="J7" s="478">
        <f>landbouw!J8</f>
        <v>86.01006265584482</v>
      </c>
      <c r="K7" s="478">
        <f>landbouw!K8</f>
        <v>0</v>
      </c>
      <c r="L7" s="478">
        <f>landbouw!L8</f>
        <v>0</v>
      </c>
      <c r="M7" s="478">
        <f>landbouw!M8</f>
        <v>0</v>
      </c>
      <c r="N7" s="478">
        <f>landbouw!N8</f>
        <v>0</v>
      </c>
      <c r="O7" s="478">
        <f>landbouw!O8</f>
        <v>0</v>
      </c>
      <c r="P7" s="479">
        <f>landbouw!P8</f>
        <v>0</v>
      </c>
      <c r="Q7" s="477">
        <f t="shared" si="0"/>
        <v>3738.4405839735919</v>
      </c>
    </row>
    <row r="8" spans="1:17">
      <c r="A8" s="477" t="s">
        <v>638</v>
      </c>
      <c r="B8" s="478">
        <f>industrie!B18</f>
        <v>5802.8737160350001</v>
      </c>
      <c r="C8" s="478">
        <f>industrie!C18</f>
        <v>0</v>
      </c>
      <c r="D8" s="478">
        <f>industrie!D18</f>
        <v>27434.728325860902</v>
      </c>
      <c r="E8" s="478">
        <f>industrie!E18</f>
        <v>488.55219424595509</v>
      </c>
      <c r="F8" s="478">
        <f>industrie!F18</f>
        <v>1852.6781774842684</v>
      </c>
      <c r="G8" s="478">
        <f>industrie!G18</f>
        <v>0</v>
      </c>
      <c r="H8" s="478">
        <f>industrie!H18</f>
        <v>0</v>
      </c>
      <c r="I8" s="478">
        <f>industrie!I18</f>
        <v>0</v>
      </c>
      <c r="J8" s="478">
        <f>industrie!J18</f>
        <v>37.365892641403327</v>
      </c>
      <c r="K8" s="478">
        <f>industrie!K18</f>
        <v>0</v>
      </c>
      <c r="L8" s="478">
        <f>industrie!L18</f>
        <v>0</v>
      </c>
      <c r="M8" s="478">
        <f>industrie!M18</f>
        <v>0</v>
      </c>
      <c r="N8" s="478">
        <f>industrie!N18</f>
        <v>1312.2632124746751</v>
      </c>
      <c r="O8" s="478">
        <f>industrie!O18</f>
        <v>0</v>
      </c>
      <c r="P8" s="479">
        <f>industrie!P18</f>
        <v>0</v>
      </c>
      <c r="Q8" s="477">
        <f t="shared" si="0"/>
        <v>36928.461518742202</v>
      </c>
    </row>
    <row r="9" spans="1:17" s="483" customFormat="1">
      <c r="A9" s="481" t="s">
        <v>564</v>
      </c>
      <c r="B9" s="482">
        <f>transport!B14</f>
        <v>7.46303288511929</v>
      </c>
      <c r="C9" s="482">
        <f>transport!C14</f>
        <v>0</v>
      </c>
      <c r="D9" s="482">
        <f>transport!D14</f>
        <v>16.730092905686398</v>
      </c>
      <c r="E9" s="482">
        <f>transport!E14</f>
        <v>64.546770138061675</v>
      </c>
      <c r="F9" s="482">
        <f>transport!F14</f>
        <v>0</v>
      </c>
      <c r="G9" s="482">
        <f>transport!G14</f>
        <v>18627.120011353036</v>
      </c>
      <c r="H9" s="482">
        <f>transport!H14</f>
        <v>4494.588447275295</v>
      </c>
      <c r="I9" s="482">
        <f>transport!I14</f>
        <v>0</v>
      </c>
      <c r="J9" s="482">
        <f>transport!J14</f>
        <v>0</v>
      </c>
      <c r="K9" s="482">
        <f>transport!K14</f>
        <v>0</v>
      </c>
      <c r="L9" s="482">
        <f>transport!L14</f>
        <v>0</v>
      </c>
      <c r="M9" s="482">
        <f>transport!M14</f>
        <v>721.53877659901423</v>
      </c>
      <c r="N9" s="482">
        <f>transport!N14</f>
        <v>0</v>
      </c>
      <c r="O9" s="482">
        <f>transport!O14</f>
        <v>0</v>
      </c>
      <c r="P9" s="482">
        <f>transport!P14</f>
        <v>0</v>
      </c>
      <c r="Q9" s="481">
        <f>SUM(B9:P9)</f>
        <v>23931.987131156209</v>
      </c>
    </row>
    <row r="10" spans="1:17">
      <c r="A10" s="477" t="s">
        <v>554</v>
      </c>
      <c r="B10" s="478">
        <f>transport!B54</f>
        <v>0</v>
      </c>
      <c r="C10" s="478">
        <f>transport!C54</f>
        <v>0</v>
      </c>
      <c r="D10" s="478">
        <f>transport!D54</f>
        <v>0</v>
      </c>
      <c r="E10" s="478">
        <f>transport!E54</f>
        <v>0</v>
      </c>
      <c r="F10" s="478">
        <f>transport!F54</f>
        <v>0</v>
      </c>
      <c r="G10" s="478">
        <f>transport!G54</f>
        <v>391.43815851355231</v>
      </c>
      <c r="H10" s="478">
        <f>transport!H54</f>
        <v>0</v>
      </c>
      <c r="I10" s="478">
        <f>transport!I54</f>
        <v>0</v>
      </c>
      <c r="J10" s="478">
        <f>transport!J54</f>
        <v>0</v>
      </c>
      <c r="K10" s="478">
        <f>transport!K54</f>
        <v>0</v>
      </c>
      <c r="L10" s="478">
        <f>transport!L54</f>
        <v>0</v>
      </c>
      <c r="M10" s="478">
        <f>transport!M54</f>
        <v>12.141535958653552</v>
      </c>
      <c r="N10" s="478">
        <f>transport!N54</f>
        <v>0</v>
      </c>
      <c r="O10" s="478">
        <f>transport!O54</f>
        <v>0</v>
      </c>
      <c r="P10" s="479">
        <f>transport!P54</f>
        <v>0</v>
      </c>
      <c r="Q10" s="477">
        <f t="shared" si="0"/>
        <v>403.57969447220586</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32637.508083434761</v>
      </c>
      <c r="C14" s="488">
        <f t="shared" ref="C14:Q14" ca="1" si="1">SUM(C4:C13)</f>
        <v>0</v>
      </c>
      <c r="D14" s="488">
        <f t="shared" ca="1" si="1"/>
        <v>64693.42895450379</v>
      </c>
      <c r="E14" s="488">
        <f t="shared" si="1"/>
        <v>7498.9948371877581</v>
      </c>
      <c r="F14" s="488">
        <f t="shared" ca="1" si="1"/>
        <v>29744.353775738895</v>
      </c>
      <c r="G14" s="488">
        <f t="shared" si="1"/>
        <v>19018.558169866588</v>
      </c>
      <c r="H14" s="488">
        <f t="shared" si="1"/>
        <v>4494.588447275295</v>
      </c>
      <c r="I14" s="488">
        <f t="shared" si="1"/>
        <v>0</v>
      </c>
      <c r="J14" s="488">
        <f t="shared" si="1"/>
        <v>123.37595529724814</v>
      </c>
      <c r="K14" s="488">
        <f t="shared" si="1"/>
        <v>0</v>
      </c>
      <c r="L14" s="488">
        <f t="shared" ca="1" si="1"/>
        <v>0</v>
      </c>
      <c r="M14" s="488">
        <f t="shared" si="1"/>
        <v>733.68031255766778</v>
      </c>
      <c r="N14" s="488">
        <f t="shared" ca="1" si="1"/>
        <v>15516.179142424557</v>
      </c>
      <c r="O14" s="488">
        <f t="shared" si="1"/>
        <v>126.63</v>
      </c>
      <c r="P14" s="489">
        <f t="shared" si="1"/>
        <v>552.93333333333339</v>
      </c>
      <c r="Q14" s="489">
        <f t="shared" ca="1" si="1"/>
        <v>175140.23101161985</v>
      </c>
    </row>
    <row r="16" spans="1:17">
      <c r="A16" s="491" t="s">
        <v>559</v>
      </c>
      <c r="B16" s="841">
        <f ca="1">huishoudens!B10</f>
        <v>0.19807523157906776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3576.4478580850136</v>
      </c>
      <c r="C21" s="478">
        <f t="shared" ref="C21:C30" ca="1" si="3">C4*$C$16</f>
        <v>0</v>
      </c>
      <c r="D21" s="478">
        <f t="shared" ref="D21:D30" si="4">D4*$D$16</f>
        <v>5889.64691925016</v>
      </c>
      <c r="E21" s="478">
        <f t="shared" ref="E21:E30" si="5">E4*$E$16</f>
        <v>1539.0700973469916</v>
      </c>
      <c r="F21" s="478">
        <f t="shared" ref="F21:F30" si="6">F4*$F$16</f>
        <v>6339.4710180995298</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17344.635892781695</v>
      </c>
    </row>
    <row r="22" spans="1:17">
      <c r="A22" s="477" t="s">
        <v>156</v>
      </c>
      <c r="B22" s="478">
        <f t="shared" ca="1" si="2"/>
        <v>1459.5318336012176</v>
      </c>
      <c r="C22" s="478">
        <f t="shared" ca="1" si="3"/>
        <v>0</v>
      </c>
      <c r="D22" s="478">
        <f t="shared" ca="1" si="4"/>
        <v>1460.358370507683</v>
      </c>
      <c r="E22" s="478">
        <f t="shared" si="5"/>
        <v>34.151147912795963</v>
      </c>
      <c r="F22" s="478">
        <f t="shared" ca="1" si="6"/>
        <v>524.53864080445726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3478.5799928261536</v>
      </c>
    </row>
    <row r="23" spans="1:17">
      <c r="A23" s="477" t="s">
        <v>194</v>
      </c>
      <c r="B23" s="478">
        <f t="shared" ca="1" si="2"/>
        <v>159.47948040496007</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159.47948040496007</v>
      </c>
    </row>
    <row r="24" spans="1:17">
      <c r="A24" s="477" t="s">
        <v>112</v>
      </c>
      <c r="B24" s="478">
        <f t="shared" ca="1" si="2"/>
        <v>118.33900260412413</v>
      </c>
      <c r="C24" s="478">
        <f t="shared" ca="1" si="3"/>
        <v>0</v>
      </c>
      <c r="D24" s="478">
        <f t="shared" si="4"/>
        <v>172.87275846107124</v>
      </c>
      <c r="E24" s="478">
        <f t="shared" si="5"/>
        <v>3.4971178666617848</v>
      </c>
      <c r="F24" s="478">
        <f t="shared" si="6"/>
        <v>583.06772582999929</v>
      </c>
      <c r="G24" s="478">
        <f t="shared" si="7"/>
        <v>0</v>
      </c>
      <c r="H24" s="478">
        <f t="shared" si="8"/>
        <v>0</v>
      </c>
      <c r="I24" s="478">
        <f t="shared" si="9"/>
        <v>0</v>
      </c>
      <c r="J24" s="478">
        <f t="shared" si="10"/>
        <v>30.447562180169065</v>
      </c>
      <c r="K24" s="478">
        <f t="shared" si="11"/>
        <v>0</v>
      </c>
      <c r="L24" s="478">
        <f t="shared" si="12"/>
        <v>0</v>
      </c>
      <c r="M24" s="478">
        <f t="shared" si="13"/>
        <v>0</v>
      </c>
      <c r="N24" s="478">
        <f t="shared" si="14"/>
        <v>0</v>
      </c>
      <c r="O24" s="478">
        <f t="shared" si="15"/>
        <v>0</v>
      </c>
      <c r="P24" s="479">
        <f t="shared" si="16"/>
        <v>0</v>
      </c>
      <c r="Q24" s="477">
        <f t="shared" ca="1" si="17"/>
        <v>908.22416694202548</v>
      </c>
    </row>
    <row r="25" spans="1:17">
      <c r="A25" s="477" t="s">
        <v>638</v>
      </c>
      <c r="B25" s="478">
        <f t="shared" ca="1" si="2"/>
        <v>1149.4055551277181</v>
      </c>
      <c r="C25" s="478">
        <f t="shared" ca="1" si="3"/>
        <v>0</v>
      </c>
      <c r="D25" s="478">
        <f t="shared" si="4"/>
        <v>5541.8151218239027</v>
      </c>
      <c r="E25" s="478">
        <f t="shared" si="5"/>
        <v>110.90134809383181</v>
      </c>
      <c r="F25" s="478">
        <f t="shared" si="6"/>
        <v>494.66507338829967</v>
      </c>
      <c r="G25" s="478">
        <f t="shared" si="7"/>
        <v>0</v>
      </c>
      <c r="H25" s="478">
        <f t="shared" si="8"/>
        <v>0</v>
      </c>
      <c r="I25" s="478">
        <f t="shared" si="9"/>
        <v>0</v>
      </c>
      <c r="J25" s="478">
        <f t="shared" si="10"/>
        <v>13.227525995056777</v>
      </c>
      <c r="K25" s="478">
        <f t="shared" si="11"/>
        <v>0</v>
      </c>
      <c r="L25" s="478">
        <f t="shared" si="12"/>
        <v>0</v>
      </c>
      <c r="M25" s="478">
        <f t="shared" si="13"/>
        <v>0</v>
      </c>
      <c r="N25" s="478">
        <f t="shared" si="14"/>
        <v>0</v>
      </c>
      <c r="O25" s="478">
        <f t="shared" si="15"/>
        <v>0</v>
      </c>
      <c r="P25" s="479">
        <f t="shared" si="16"/>
        <v>0</v>
      </c>
      <c r="Q25" s="477">
        <f t="shared" ca="1" si="17"/>
        <v>7310.0146244288089</v>
      </c>
    </row>
    <row r="26" spans="1:17" s="483" customFormat="1">
      <c r="A26" s="481" t="s">
        <v>564</v>
      </c>
      <c r="B26" s="835">
        <f t="shared" ca="1" si="2"/>
        <v>1.4782419670022016</v>
      </c>
      <c r="C26" s="482">
        <f t="shared" ca="1" si="3"/>
        <v>0</v>
      </c>
      <c r="D26" s="482">
        <f t="shared" si="4"/>
        <v>3.3794787669486528</v>
      </c>
      <c r="E26" s="482">
        <f t="shared" si="5"/>
        <v>14.65211682134</v>
      </c>
      <c r="F26" s="482">
        <f t="shared" si="6"/>
        <v>0</v>
      </c>
      <c r="G26" s="482">
        <f t="shared" si="7"/>
        <v>4973.441043031261</v>
      </c>
      <c r="H26" s="482">
        <f t="shared" si="8"/>
        <v>1119.1525233715486</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6112.1034039581</v>
      </c>
    </row>
    <row r="27" spans="1:17">
      <c r="A27" s="477" t="s">
        <v>554</v>
      </c>
      <c r="B27" s="478">
        <f t="shared" ca="1" si="2"/>
        <v>0</v>
      </c>
      <c r="C27" s="478">
        <f t="shared" ca="1" si="3"/>
        <v>0</v>
      </c>
      <c r="D27" s="478">
        <f t="shared" si="4"/>
        <v>0</v>
      </c>
      <c r="E27" s="478">
        <f t="shared" si="5"/>
        <v>0</v>
      </c>
      <c r="F27" s="478">
        <f t="shared" si="6"/>
        <v>0</v>
      </c>
      <c r="G27" s="478">
        <f t="shared" si="7"/>
        <v>104.51398832311847</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104.51398832311847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6464.6819717900353</v>
      </c>
      <c r="C31" s="488">
        <f t="shared" ca="1" si="18"/>
        <v>0</v>
      </c>
      <c r="D31" s="488">
        <f t="shared" ca="1" si="18"/>
        <v>13068.072648809766</v>
      </c>
      <c r="E31" s="488">
        <f t="shared" si="18"/>
        <v>1702.2718280416211</v>
      </c>
      <c r="F31" s="488">
        <f t="shared" ca="1" si="18"/>
        <v>7941.7424581222858</v>
      </c>
      <c r="G31" s="488">
        <f t="shared" si="18"/>
        <v>5077.9550313543796</v>
      </c>
      <c r="H31" s="488">
        <f t="shared" si="18"/>
        <v>1119.1525233715486</v>
      </c>
      <c r="I31" s="488">
        <f t="shared" si="18"/>
        <v>0</v>
      </c>
      <c r="J31" s="488">
        <f t="shared" si="18"/>
        <v>43.675088175225838</v>
      </c>
      <c r="K31" s="488">
        <f t="shared" si="18"/>
        <v>0</v>
      </c>
      <c r="L31" s="488">
        <f t="shared" ca="1" si="18"/>
        <v>0</v>
      </c>
      <c r="M31" s="488">
        <f t="shared" si="18"/>
        <v>0</v>
      </c>
      <c r="N31" s="488">
        <f t="shared" ca="1" si="18"/>
        <v>0</v>
      </c>
      <c r="O31" s="488">
        <f t="shared" si="18"/>
        <v>0</v>
      </c>
      <c r="P31" s="489">
        <f t="shared" si="18"/>
        <v>0</v>
      </c>
      <c r="Q31" s="489">
        <f t="shared" ca="1" si="18"/>
        <v>35417.551549664859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0.19807523157906776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0.19807523157906776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0.19807523157906776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4351</v>
      </c>
      <c r="C9" s="342">
        <v>4700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458.69</v>
      </c>
    </row>
    <row r="15" spans="1:6">
      <c r="A15" s="348" t="s">
        <v>184</v>
      </c>
      <c r="B15" s="334">
        <v>677</v>
      </c>
    </row>
    <row r="16" spans="1:6">
      <c r="A16" s="348" t="s">
        <v>6</v>
      </c>
      <c r="B16" s="334">
        <v>226</v>
      </c>
    </row>
    <row r="17" spans="1:6">
      <c r="A17" s="348" t="s">
        <v>7</v>
      </c>
      <c r="B17" s="334">
        <v>31</v>
      </c>
    </row>
    <row r="18" spans="1:6">
      <c r="A18" s="348" t="s">
        <v>8</v>
      </c>
      <c r="B18" s="334">
        <v>183</v>
      </c>
    </row>
    <row r="19" spans="1:6">
      <c r="A19" s="348" t="s">
        <v>9</v>
      </c>
      <c r="B19" s="334">
        <v>175</v>
      </c>
    </row>
    <row r="20" spans="1:6">
      <c r="A20" s="348" t="s">
        <v>10</v>
      </c>
      <c r="B20" s="334">
        <v>77</v>
      </c>
    </row>
    <row r="21" spans="1:6">
      <c r="A21" s="348" t="s">
        <v>11</v>
      </c>
      <c r="B21" s="334">
        <v>0</v>
      </c>
    </row>
    <row r="22" spans="1:6">
      <c r="A22" s="348" t="s">
        <v>12</v>
      </c>
      <c r="B22" s="334">
        <v>7</v>
      </c>
    </row>
    <row r="23" spans="1:6">
      <c r="A23" s="348" t="s">
        <v>13</v>
      </c>
      <c r="B23" s="334">
        <v>0</v>
      </c>
    </row>
    <row r="24" spans="1:6">
      <c r="A24" s="348" t="s">
        <v>14</v>
      </c>
      <c r="B24" s="334">
        <v>0</v>
      </c>
    </row>
    <row r="25" spans="1:6">
      <c r="A25" s="348" t="s">
        <v>15</v>
      </c>
      <c r="B25" s="334">
        <v>0</v>
      </c>
    </row>
    <row r="26" spans="1:6">
      <c r="A26" s="348" t="s">
        <v>16</v>
      </c>
      <c r="B26" s="334">
        <v>7</v>
      </c>
    </row>
    <row r="27" spans="1:6">
      <c r="A27" s="348" t="s">
        <v>17</v>
      </c>
      <c r="B27" s="334">
        <v>0</v>
      </c>
    </row>
    <row r="28" spans="1:6" s="356" customFormat="1">
      <c r="A28" s="355" t="s">
        <v>18</v>
      </c>
      <c r="B28" s="355">
        <v>60860</v>
      </c>
    </row>
    <row r="29" spans="1:6">
      <c r="A29" s="355" t="s">
        <v>812</v>
      </c>
      <c r="B29" s="355">
        <v>52</v>
      </c>
      <c r="C29" s="356"/>
      <c r="D29" s="356"/>
      <c r="E29" s="356"/>
      <c r="F29" s="356"/>
    </row>
    <row r="30" spans="1:6">
      <c r="A30" s="355" t="s">
        <v>813</v>
      </c>
      <c r="B30" s="341">
        <v>3</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117869.60292999999</v>
      </c>
      <c r="E38" s="334">
        <v>0</v>
      </c>
      <c r="F38" s="334">
        <v>0</v>
      </c>
    </row>
    <row r="39" spans="1:6">
      <c r="A39" s="348" t="s">
        <v>30</v>
      </c>
      <c r="B39" s="348" t="s">
        <v>31</v>
      </c>
      <c r="C39" s="334">
        <v>2200</v>
      </c>
      <c r="D39" s="334">
        <v>32324465.539999999</v>
      </c>
      <c r="E39" s="334">
        <v>4345</v>
      </c>
      <c r="F39" s="334">
        <v>15834328.096000001</v>
      </c>
    </row>
    <row r="40" spans="1:6">
      <c r="A40" s="348" t="s">
        <v>30</v>
      </c>
      <c r="B40" s="348" t="s">
        <v>29</v>
      </c>
      <c r="C40" s="334">
        <v>0</v>
      </c>
      <c r="D40" s="334">
        <v>0</v>
      </c>
      <c r="E40" s="334">
        <v>0</v>
      </c>
      <c r="F40" s="334">
        <v>0</v>
      </c>
    </row>
    <row r="41" spans="1:6">
      <c r="A41" s="348" t="s">
        <v>32</v>
      </c>
      <c r="B41" s="348" t="s">
        <v>33</v>
      </c>
      <c r="C41" s="334">
        <v>23</v>
      </c>
      <c r="D41" s="334">
        <v>509700.45195000002</v>
      </c>
      <c r="E41" s="334">
        <v>76</v>
      </c>
      <c r="F41" s="334">
        <v>904814.98176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18730.787445000002</v>
      </c>
    </row>
    <row r="45" spans="1:6">
      <c r="A45" s="348" t="s">
        <v>32</v>
      </c>
      <c r="B45" s="348" t="s">
        <v>37</v>
      </c>
      <c r="C45" s="334">
        <v>0</v>
      </c>
      <c r="D45" s="334">
        <v>0</v>
      </c>
      <c r="E45" s="334">
        <v>3</v>
      </c>
      <c r="F45" s="334">
        <v>3205</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29905741.151000001</v>
      </c>
      <c r="E48" s="334">
        <v>29</v>
      </c>
      <c r="F48" s="334">
        <v>4608563.7094999999</v>
      </c>
    </row>
    <row r="49" spans="1:6">
      <c r="A49" s="348" t="s">
        <v>32</v>
      </c>
      <c r="B49" s="348" t="s">
        <v>40</v>
      </c>
      <c r="C49" s="334">
        <v>0</v>
      </c>
      <c r="D49" s="334">
        <v>0</v>
      </c>
      <c r="E49" s="334">
        <v>0</v>
      </c>
      <c r="F49" s="334">
        <v>0</v>
      </c>
    </row>
    <row r="50" spans="1:6">
      <c r="A50" s="348" t="s">
        <v>32</v>
      </c>
      <c r="B50" s="348" t="s">
        <v>41</v>
      </c>
      <c r="C50" s="334">
        <v>0</v>
      </c>
      <c r="D50" s="334">
        <v>0</v>
      </c>
      <c r="E50" s="334">
        <v>5</v>
      </c>
      <c r="F50" s="334">
        <v>267559.23732999997</v>
      </c>
    </row>
    <row r="51" spans="1:6">
      <c r="A51" s="348" t="s">
        <v>42</v>
      </c>
      <c r="B51" s="348" t="s">
        <v>43</v>
      </c>
      <c r="C51" s="334">
        <v>0</v>
      </c>
      <c r="D51" s="334">
        <v>0</v>
      </c>
      <c r="E51" s="334">
        <v>13</v>
      </c>
      <c r="F51" s="334">
        <v>552714.19675</v>
      </c>
    </row>
    <row r="52" spans="1:6">
      <c r="A52" s="348" t="s">
        <v>42</v>
      </c>
      <c r="B52" s="348" t="s">
        <v>29</v>
      </c>
      <c r="C52" s="334">
        <v>1</v>
      </c>
      <c r="D52" s="334">
        <v>26802.850589000001</v>
      </c>
      <c r="E52" s="334">
        <v>6</v>
      </c>
      <c r="F52" s="334">
        <v>44730.529987000002</v>
      </c>
    </row>
    <row r="53" spans="1:6">
      <c r="A53" s="348" t="s">
        <v>44</v>
      </c>
      <c r="B53" s="348" t="s">
        <v>45</v>
      </c>
      <c r="C53" s="334">
        <v>63</v>
      </c>
      <c r="D53" s="334">
        <v>921983.99526</v>
      </c>
      <c r="E53" s="334">
        <v>176</v>
      </c>
      <c r="F53" s="334">
        <v>643172.58152999997</v>
      </c>
    </row>
    <row r="54" spans="1:6">
      <c r="A54" s="348" t="s">
        <v>46</v>
      </c>
      <c r="B54" s="348" t="s">
        <v>47</v>
      </c>
      <c r="C54" s="334">
        <v>0</v>
      </c>
      <c r="D54" s="334">
        <v>0</v>
      </c>
      <c r="E54" s="334">
        <v>1</v>
      </c>
      <c r="F54" s="334">
        <v>805146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745699.20877000003</v>
      </c>
      <c r="E57" s="334">
        <v>30</v>
      </c>
      <c r="F57" s="334">
        <v>992380.03868</v>
      </c>
    </row>
    <row r="58" spans="1:6">
      <c r="A58" s="348" t="s">
        <v>49</v>
      </c>
      <c r="B58" s="348" t="s">
        <v>51</v>
      </c>
      <c r="C58" s="334">
        <v>8</v>
      </c>
      <c r="D58" s="334">
        <v>242917.0612</v>
      </c>
      <c r="E58" s="334">
        <v>8</v>
      </c>
      <c r="F58" s="334">
        <v>64537.934936999998</v>
      </c>
    </row>
    <row r="59" spans="1:6">
      <c r="A59" s="348" t="s">
        <v>49</v>
      </c>
      <c r="B59" s="348" t="s">
        <v>52</v>
      </c>
      <c r="C59" s="334">
        <v>20</v>
      </c>
      <c r="D59" s="334">
        <v>606616.18996999995</v>
      </c>
      <c r="E59" s="334">
        <v>76</v>
      </c>
      <c r="F59" s="334">
        <v>1781177.3714000001</v>
      </c>
    </row>
    <row r="60" spans="1:6">
      <c r="A60" s="348" t="s">
        <v>49</v>
      </c>
      <c r="B60" s="348" t="s">
        <v>53</v>
      </c>
      <c r="C60" s="334">
        <v>28</v>
      </c>
      <c r="D60" s="334">
        <v>926172.30922000005</v>
      </c>
      <c r="E60" s="334">
        <v>50</v>
      </c>
      <c r="F60" s="334">
        <v>1231038.2712999999</v>
      </c>
    </row>
    <row r="61" spans="1:6">
      <c r="A61" s="348" t="s">
        <v>49</v>
      </c>
      <c r="B61" s="348" t="s">
        <v>54</v>
      </c>
      <c r="C61" s="334">
        <v>49</v>
      </c>
      <c r="D61" s="334">
        <v>2843664.7836000002</v>
      </c>
      <c r="E61" s="334">
        <v>125</v>
      </c>
      <c r="F61" s="334">
        <v>1238138.1701</v>
      </c>
    </row>
    <row r="62" spans="1:6">
      <c r="A62" s="348" t="s">
        <v>49</v>
      </c>
      <c r="B62" s="348" t="s">
        <v>55</v>
      </c>
      <c r="C62" s="334">
        <v>3</v>
      </c>
      <c r="D62" s="334">
        <v>347525.16454000003</v>
      </c>
      <c r="E62" s="334">
        <v>3</v>
      </c>
      <c r="F62" s="334">
        <v>32351.395145999999</v>
      </c>
    </row>
    <row r="63" spans="1:6">
      <c r="A63" s="348" t="s">
        <v>49</v>
      </c>
      <c r="B63" s="348" t="s">
        <v>29</v>
      </c>
      <c r="C63" s="334">
        <v>73</v>
      </c>
      <c r="D63" s="334">
        <v>2302368.5684000002</v>
      </c>
      <c r="E63" s="334">
        <v>84</v>
      </c>
      <c r="F63" s="334">
        <v>2028949.9709999999</v>
      </c>
    </row>
    <row r="64" spans="1:6">
      <c r="A64" s="348" t="s">
        <v>56</v>
      </c>
      <c r="B64" s="348" t="s">
        <v>57</v>
      </c>
      <c r="C64" s="334">
        <v>0</v>
      </c>
      <c r="D64" s="334">
        <v>0</v>
      </c>
      <c r="E64" s="334">
        <v>0</v>
      </c>
      <c r="F64" s="334">
        <v>0</v>
      </c>
    </row>
    <row r="65" spans="1:6">
      <c r="A65" s="348" t="s">
        <v>56</v>
      </c>
      <c r="B65" s="348" t="s">
        <v>29</v>
      </c>
      <c r="C65" s="334">
        <v>0</v>
      </c>
      <c r="D65" s="334">
        <v>0</v>
      </c>
      <c r="E65" s="334">
        <v>2</v>
      </c>
      <c r="F65" s="334">
        <v>3290.5694331</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152314.94083000001</v>
      </c>
      <c r="E68" s="334">
        <v>12</v>
      </c>
      <c r="F68" s="334">
        <v>190588.24862</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26550130</v>
      </c>
      <c r="E73" s="476">
        <v>27285814.804501414</v>
      </c>
    </row>
    <row r="74" spans="1:6">
      <c r="A74" s="348" t="s">
        <v>64</v>
      </c>
      <c r="B74" s="348" t="s">
        <v>667</v>
      </c>
      <c r="C74" s="1212" t="s">
        <v>669</v>
      </c>
      <c r="D74" s="476">
        <v>1119272.9980511123</v>
      </c>
      <c r="E74" s="476">
        <v>1148768.7270908682</v>
      </c>
    </row>
    <row r="75" spans="1:6">
      <c r="A75" s="348" t="s">
        <v>65</v>
      </c>
      <c r="B75" s="348" t="s">
        <v>666</v>
      </c>
      <c r="C75" s="1212" t="s">
        <v>670</v>
      </c>
      <c r="D75" s="476">
        <v>5297546</v>
      </c>
      <c r="E75" s="476">
        <v>5444343.0861000037</v>
      </c>
    </row>
    <row r="76" spans="1:6">
      <c r="A76" s="348" t="s">
        <v>65</v>
      </c>
      <c r="B76" s="348" t="s">
        <v>667</v>
      </c>
      <c r="C76" s="1212" t="s">
        <v>671</v>
      </c>
      <c r="D76" s="476">
        <v>162205.99805111228</v>
      </c>
      <c r="E76" s="476">
        <v>167805.64498867831</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108396.00389777544</v>
      </c>
      <c r="C83" s="476">
        <v>108396.00389777544</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2221.6793592146373</v>
      </c>
    </row>
    <row r="92" spans="1:6">
      <c r="A92" s="341" t="s">
        <v>69</v>
      </c>
      <c r="B92" s="342">
        <v>1163.8741007357974</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846</v>
      </c>
    </row>
    <row r="98" spans="1:6">
      <c r="A98" s="348" t="s">
        <v>72</v>
      </c>
      <c r="B98" s="334">
        <v>4</v>
      </c>
    </row>
    <row r="99" spans="1:6">
      <c r="A99" s="348" t="s">
        <v>73</v>
      </c>
      <c r="B99" s="334">
        <v>80</v>
      </c>
    </row>
    <row r="100" spans="1:6">
      <c r="A100" s="348" t="s">
        <v>74</v>
      </c>
      <c r="B100" s="334">
        <v>171</v>
      </c>
    </row>
    <row r="101" spans="1:6">
      <c r="A101" s="348" t="s">
        <v>75</v>
      </c>
      <c r="B101" s="334">
        <v>55</v>
      </c>
    </row>
    <row r="102" spans="1:6">
      <c r="A102" s="348" t="s">
        <v>76</v>
      </c>
      <c r="B102" s="334">
        <v>38</v>
      </c>
    </row>
    <row r="103" spans="1:6">
      <c r="A103" s="348" t="s">
        <v>77</v>
      </c>
      <c r="B103" s="334">
        <v>101</v>
      </c>
    </row>
    <row r="104" spans="1:6">
      <c r="A104" s="348" t="s">
        <v>78</v>
      </c>
      <c r="B104" s="334">
        <v>2194</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24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32637.508083434761</v>
      </c>
      <c r="C3" s="43" t="s">
        <v>170</v>
      </c>
      <c r="D3" s="43"/>
      <c r="E3" s="154"/>
      <c r="F3" s="43"/>
      <c r="G3" s="43"/>
      <c r="H3" s="43"/>
      <c r="I3" s="43"/>
      <c r="J3" s="43"/>
      <c r="K3" s="96"/>
    </row>
    <row r="4" spans="1:11">
      <c r="A4" s="383" t="s">
        <v>171</v>
      </c>
      <c r="B4" s="49">
        <f>IF(ISERROR('SEAP template'!B69),0,'SEAP template'!B69)</f>
        <v>3385.5534599504344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0.19807523157906776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805.14599999999996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805.14599999999996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0.19807523157906776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159.47948040496007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15834.328096000001</v>
      </c>
      <c r="C5" s="17">
        <f>IF(ISERROR('Eigen informatie GS &amp; warmtenet'!B57),0,'Eigen informatie GS &amp; warmtenet'!B57)</f>
        <v>0</v>
      </c>
      <c r="D5" s="30">
        <f>(SUM(HH_hh_gas_kWh,HH_rest_gas_kWh)/1000)*0.902</f>
        <v>29156.667917079998</v>
      </c>
      <c r="E5" s="17">
        <f>B46*B57</f>
        <v>6780.0444817048083</v>
      </c>
      <c r="F5" s="17">
        <f>B51*B62</f>
        <v>23743.337146440186</v>
      </c>
      <c r="G5" s="18"/>
      <c r="H5" s="17"/>
      <c r="I5" s="17"/>
      <c r="J5" s="17">
        <f>B50*B61+C50*C61</f>
        <v>0</v>
      </c>
      <c r="K5" s="17"/>
      <c r="L5" s="17"/>
      <c r="M5" s="17"/>
      <c r="N5" s="17">
        <f>B48*B59+C48*C59</f>
        <v>13238.344310249195</v>
      </c>
      <c r="O5" s="17">
        <f>B69*B70*B71</f>
        <v>126.63</v>
      </c>
      <c r="P5" s="17">
        <f>B77*B78*B79/1000-B77*B78*B79/1000/B80</f>
        <v>552.93333333333339</v>
      </c>
    </row>
    <row r="6" spans="1:16">
      <c r="A6" s="16" t="s">
        <v>624</v>
      </c>
      <c r="B6" s="843">
        <f>kWh_PV_kleiner_dan_10kW</f>
        <v>2221.6793592146373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18056.00745521464</v>
      </c>
      <c r="C8" s="21">
        <f>C5</f>
        <v>0</v>
      </c>
      <c r="D8" s="21">
        <f>D5</f>
        <v>29156.667917079998</v>
      </c>
      <c r="E8" s="21">
        <f>E5</f>
        <v>6780.0444817048083</v>
      </c>
      <c r="F8" s="21">
        <f>F5</f>
        <v>23743.337146440186</v>
      </c>
      <c r="G8" s="21"/>
      <c r="H8" s="21"/>
      <c r="I8" s="21"/>
      <c r="J8" s="21">
        <f>J5</f>
        <v>0</v>
      </c>
      <c r="K8" s="21"/>
      <c r="L8" s="21">
        <f>L5</f>
        <v>0</v>
      </c>
      <c r="M8" s="21">
        <f>M5</f>
        <v>0</v>
      </c>
      <c r="N8" s="21">
        <f>N5</f>
        <v>13238.344310249195</v>
      </c>
      <c r="O8" s="21">
        <f>O5</f>
        <v>126.63</v>
      </c>
      <c r="P8" s="21">
        <f>P5</f>
        <v>552.93333333333339</v>
      </c>
    </row>
    <row r="9" spans="1:16">
      <c r="B9" s="19"/>
      <c r="C9" s="19"/>
      <c r="D9" s="258"/>
      <c r="E9" s="19"/>
      <c r="F9" s="19"/>
      <c r="G9" s="19"/>
      <c r="H9" s="19"/>
      <c r="I9" s="19"/>
      <c r="J9" s="19"/>
      <c r="K9" s="19"/>
      <c r="L9" s="19"/>
      <c r="M9" s="19"/>
      <c r="N9" s="19"/>
      <c r="O9" s="19"/>
      <c r="P9" s="19"/>
    </row>
    <row r="10" spans="1:16">
      <c r="A10" s="24" t="s">
        <v>214</v>
      </c>
      <c r="B10" s="25">
        <f ca="1">'EF ele_warmte'!B12</f>
        <v>0.19807523157906776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3576.4478580850136</v>
      </c>
      <c r="C12" s="23">
        <f ca="1">C10*C8</f>
        <v>0</v>
      </c>
      <c r="D12" s="23">
        <f>D8*D10</f>
        <v>5889.64691925016</v>
      </c>
      <c r="E12" s="23">
        <f>E10*E8</f>
        <v>1539.0700973469916</v>
      </c>
      <c r="F12" s="23">
        <f>F10*F8</f>
        <v>6339.4710180995298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846</v>
      </c>
      <c r="C18" s="166" t="s">
        <v>111</v>
      </c>
      <c r="D18" s="228"/>
      <c r="E18" s="15"/>
    </row>
    <row r="19" spans="1:7">
      <c r="A19" s="171" t="s">
        <v>72</v>
      </c>
      <c r="B19" s="37">
        <f>aantalw2001_ander</f>
        <v>4</v>
      </c>
      <c r="C19" s="166" t="s">
        <v>111</v>
      </c>
      <c r="D19" s="229"/>
      <c r="E19" s="15"/>
    </row>
    <row r="20" spans="1:7">
      <c r="A20" s="171" t="s">
        <v>73</v>
      </c>
      <c r="B20" s="37">
        <f>aantalw2001_propaan</f>
        <v>80</v>
      </c>
      <c r="C20" s="167">
        <f>IF(ISERROR(B20/SUM($B$20,$B$21,$B$22)*100),0,B20/SUM($B$20,$B$21,$B$22)*100)</f>
        <v>26.143790849673206</v>
      </c>
      <c r="D20" s="229"/>
      <c r="E20" s="15"/>
    </row>
    <row r="21" spans="1:7">
      <c r="A21" s="171" t="s">
        <v>74</v>
      </c>
      <c r="B21" s="37">
        <f>aantalw2001_elektriciteit</f>
        <v>171</v>
      </c>
      <c r="C21" s="167">
        <f>IF(ISERROR(B21/SUM($B$20,$B$21,$B$22)*100),0,B21/SUM($B$20,$B$21,$B$22)*100)</f>
        <v>55.882352941176471</v>
      </c>
      <c r="D21" s="229"/>
      <c r="E21" s="15"/>
    </row>
    <row r="22" spans="1:7">
      <c r="A22" s="171" t="s">
        <v>75</v>
      </c>
      <c r="B22" s="37">
        <f>aantalw2001_hout</f>
        <v>55</v>
      </c>
      <c r="C22" s="167">
        <f>IF(ISERROR(B22/SUM($B$20,$B$21,$B$22)*100),0,B22/SUM($B$20,$B$21,$B$22)*100)</f>
        <v>17.973856209150327</v>
      </c>
      <c r="D22" s="229"/>
      <c r="E22" s="15"/>
    </row>
    <row r="23" spans="1:7">
      <c r="A23" s="171" t="s">
        <v>76</v>
      </c>
      <c r="B23" s="37">
        <f>aantalw2001_niet_gespec</f>
        <v>38</v>
      </c>
      <c r="C23" s="166" t="s">
        <v>111</v>
      </c>
      <c r="D23" s="228"/>
      <c r="E23" s="15"/>
    </row>
    <row r="24" spans="1:7">
      <c r="A24" s="171" t="s">
        <v>77</v>
      </c>
      <c r="B24" s="37">
        <f>aantalw2001_steenkool</f>
        <v>101</v>
      </c>
      <c r="C24" s="166" t="s">
        <v>111</v>
      </c>
      <c r="D24" s="229"/>
      <c r="E24" s="15"/>
    </row>
    <row r="25" spans="1:7">
      <c r="A25" s="171" t="s">
        <v>78</v>
      </c>
      <c r="B25" s="37">
        <f>aantalw2001_stookolie</f>
        <v>2194</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4351</v>
      </c>
      <c r="C28" s="36"/>
      <c r="D28" s="228"/>
    </row>
    <row r="29" spans="1:7" s="15" customFormat="1">
      <c r="A29" s="230" t="s">
        <v>699</v>
      </c>
      <c r="B29" s="37">
        <f>SUM(HH_hh_gas_aantal,HH_rest_gas_aantal)</f>
        <v>2200</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2200</v>
      </c>
      <c r="C32" s="167">
        <f>IF(ISERROR(B32/SUM($B$32,$B$34,$B$35,$B$36,$B$38,$B$39)*100),0,B32/SUM($B$32,$B$34,$B$35,$B$36,$B$38,$B$39)*100)</f>
        <v>50.902360018509953</v>
      </c>
      <c r="D32" s="233"/>
      <c r="G32" s="15"/>
    </row>
    <row r="33" spans="1:7">
      <c r="A33" s="171" t="s">
        <v>72</v>
      </c>
      <c r="B33" s="34" t="s">
        <v>111</v>
      </c>
      <c r="C33" s="167"/>
      <c r="D33" s="233"/>
      <c r="G33" s="15"/>
    </row>
    <row r="34" spans="1:7">
      <c r="A34" s="171" t="s">
        <v>73</v>
      </c>
      <c r="B34" s="33">
        <f>IF((($B$28-$B$32-$B$39-$B$77-$B$38)*C20/100)&lt;0,0,($B$28-$B$32-$B$39-$B$77-$B$38)*C20/100)</f>
        <v>299.76470588235298</v>
      </c>
      <c r="C34" s="167">
        <f>IF(ISERROR(B34/SUM($B$32,$B$34,$B$35,$B$36,$B$38,$B$39)*100),0,B34/SUM($B$32,$B$34,$B$35,$B$36,$B$38,$B$39)*100)</f>
        <v>6.9357868089392181</v>
      </c>
      <c r="D34" s="233"/>
      <c r="G34" s="15"/>
    </row>
    <row r="35" spans="1:7">
      <c r="A35" s="171" t="s">
        <v>74</v>
      </c>
      <c r="B35" s="33">
        <f>IF((($B$28-$B$32-$B$39-$B$77-$B$38)*C21/100)&lt;0,0,($B$28-$B$32-$B$39-$B$77-$B$38)*C21/100)</f>
        <v>640.74705882352953</v>
      </c>
      <c r="C35" s="167">
        <f>IF(ISERROR(B35/SUM($B$32,$B$34,$B$35,$B$36,$B$38,$B$39)*100),0,B35/SUM($B$32,$B$34,$B$35,$B$36,$B$38,$B$39)*100)</f>
        <v>14.82524430410758</v>
      </c>
      <c r="D35" s="233"/>
      <c r="G35" s="15"/>
    </row>
    <row r="36" spans="1:7">
      <c r="A36" s="171" t="s">
        <v>75</v>
      </c>
      <c r="B36" s="33">
        <f>IF((($B$28-$B$32-$B$39-$B$77-$B$38)*C22/100)&lt;0,0,($B$28-$B$32-$B$39-$B$77-$B$38)*C22/100)</f>
        <v>206.08823529411765</v>
      </c>
      <c r="C36" s="167">
        <f>IF(ISERROR(B36/SUM($B$32,$B$34,$B$35,$B$36,$B$38,$B$39)*100),0,B36/SUM($B$32,$B$34,$B$35,$B$36,$B$38,$B$39)*100)</f>
        <v>4.7683534311457114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975.39999999999986</v>
      </c>
      <c r="C39" s="167">
        <f>IF(ISERROR(B39/SUM($B$32,$B$34,$B$35,$B$36,$B$38,$B$39)*100),0,B39/SUM($B$32,$B$34,$B$35,$B$36,$B$38,$B$39)*100)</f>
        <v>22.568255437297545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2200</v>
      </c>
      <c r="C44" s="34" t="s">
        <v>111</v>
      </c>
      <c r="D44" s="174"/>
    </row>
    <row r="45" spans="1:7">
      <c r="A45" s="171" t="s">
        <v>72</v>
      </c>
      <c r="B45" s="33" t="str">
        <f t="shared" si="0"/>
        <v>-</v>
      </c>
      <c r="C45" s="34" t="s">
        <v>111</v>
      </c>
      <c r="D45" s="174"/>
    </row>
    <row r="46" spans="1:7">
      <c r="A46" s="171" t="s">
        <v>73</v>
      </c>
      <c r="B46" s="33">
        <f t="shared" si="0"/>
        <v>299.76470588235298</v>
      </c>
      <c r="C46" s="34" t="s">
        <v>111</v>
      </c>
      <c r="D46" s="174"/>
    </row>
    <row r="47" spans="1:7">
      <c r="A47" s="171" t="s">
        <v>74</v>
      </c>
      <c r="B47" s="33">
        <f t="shared" si="0"/>
        <v>640.74705882352953</v>
      </c>
      <c r="C47" s="34" t="s">
        <v>111</v>
      </c>
      <c r="D47" s="174"/>
    </row>
    <row r="48" spans="1:7">
      <c r="A48" s="171" t="s">
        <v>75</v>
      </c>
      <c r="B48" s="33">
        <f t="shared" si="0"/>
        <v>206.08823529411765</v>
      </c>
      <c r="C48" s="33">
        <f>B48*10</f>
        <v>2060.8823529411766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975.39999999999986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81</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7368.5731525629999</v>
      </c>
      <c r="C5" s="17">
        <f>IF(ISERROR('Eigen informatie GS &amp; warmtenet'!B58),0,'Eigen informatie GS &amp; warmtenet'!B58)</f>
        <v>0</v>
      </c>
      <c r="D5" s="30">
        <f>SUM(D6:D12)</f>
        <v>7229.4968837014003</v>
      </c>
      <c r="E5" s="17">
        <f>SUM(E6:E12)</f>
        <v>150.44558551892493</v>
      </c>
      <c r="F5" s="17">
        <f>SUM(F6:F12)</f>
        <v>1964.5641977695027</v>
      </c>
      <c r="G5" s="18"/>
      <c r="H5" s="17"/>
      <c r="I5" s="17"/>
      <c r="J5" s="17">
        <f>SUM(J6:J12)</f>
        <v>0</v>
      </c>
      <c r="K5" s="17"/>
      <c r="L5" s="17"/>
      <c r="M5" s="17"/>
      <c r="N5" s="17">
        <f>SUM(N6:N12)</f>
        <v>965.57161970068614</v>
      </c>
      <c r="O5" s="17">
        <f>B38*B39*B40</f>
        <v>0</v>
      </c>
      <c r="P5" s="17">
        <f>B46*B47*B48/1000-B46*B47*B48/1000/B49</f>
        <v>0</v>
      </c>
      <c r="R5" s="32"/>
    </row>
    <row r="6" spans="1:18">
      <c r="A6" s="32" t="s">
        <v>54</v>
      </c>
      <c r="B6" s="37">
        <f>B26</f>
        <v>1238.1381701</v>
      </c>
      <c r="C6" s="33"/>
      <c r="D6" s="37">
        <f>IF(ISERROR(TER_kantoor_gas_kWh/1000),0,TER_kantoor_gas_kWh/1000)*0.902</f>
        <v>2564.9856348072003</v>
      </c>
      <c r="E6" s="33">
        <f>$C$26*'E Balans VL '!I12/100/3.6*1000000</f>
        <v>16.208753811679493</v>
      </c>
      <c r="F6" s="33">
        <f>$C$26*('E Balans VL '!L12+'E Balans VL '!N12)/100/3.6*1000000</f>
        <v>315.71243893358542</v>
      </c>
      <c r="G6" s="34"/>
      <c r="H6" s="33"/>
      <c r="I6" s="33"/>
      <c r="J6" s="33">
        <f>$C$26*('E Balans VL '!D12+'E Balans VL '!E12)/100/3.6*1000000</f>
        <v>0</v>
      </c>
      <c r="K6" s="33"/>
      <c r="L6" s="33"/>
      <c r="M6" s="33"/>
      <c r="N6" s="33">
        <f>$C$26*'E Balans VL '!Y12/100/3.6*1000000</f>
        <v>1.2423075340696534</v>
      </c>
      <c r="O6" s="33"/>
      <c r="P6" s="33"/>
      <c r="R6" s="32"/>
    </row>
    <row r="7" spans="1:18">
      <c r="A7" s="32" t="s">
        <v>53</v>
      </c>
      <c r="B7" s="37">
        <f t="shared" ref="B7:B12" si="0">B27</f>
        <v>1231.0382712999999</v>
      </c>
      <c r="C7" s="33"/>
      <c r="D7" s="37">
        <f>IF(ISERROR(TER_horeca_gas_kWh/1000),0,TER_horeca_gas_kWh/1000)*0.902</f>
        <v>835.40742291644017</v>
      </c>
      <c r="E7" s="33">
        <f>$C$27*'E Balans VL '!I9/100/3.6*1000000</f>
        <v>40.739878625422875</v>
      </c>
      <c r="F7" s="33">
        <f>$C$27*('E Balans VL '!L9+'E Balans VL '!N9)/100/3.6*1000000</f>
        <v>529.34173874887222</v>
      </c>
      <c r="G7" s="34"/>
      <c r="H7" s="33"/>
      <c r="I7" s="33"/>
      <c r="J7" s="33">
        <f>$C$27*('E Balans VL '!D9+'E Balans VL '!E9)/100/3.6*1000000</f>
        <v>0</v>
      </c>
      <c r="K7" s="33"/>
      <c r="L7" s="33"/>
      <c r="M7" s="33"/>
      <c r="N7" s="33">
        <f>$C$27*'E Balans VL '!Y9/100/3.6*1000000</f>
        <v>0.29632878853940714</v>
      </c>
      <c r="O7" s="33"/>
      <c r="P7" s="33"/>
      <c r="R7" s="32"/>
    </row>
    <row r="8" spans="1:18">
      <c r="A8" s="6" t="s">
        <v>52</v>
      </c>
      <c r="B8" s="37">
        <f t="shared" si="0"/>
        <v>1781.1773714000001</v>
      </c>
      <c r="C8" s="33"/>
      <c r="D8" s="37">
        <f>IF(ISERROR(TER_handel_gas_kWh/1000),0,TER_handel_gas_kWh/1000)*0.902</f>
        <v>547.16780335293993</v>
      </c>
      <c r="E8" s="33">
        <f>$C$28*'E Balans VL '!I13/100/3.6*1000000</f>
        <v>56.216679399396007</v>
      </c>
      <c r="F8" s="33">
        <f>$C$28*('E Balans VL '!L13+'E Balans VL '!N13)/100/3.6*1000000</f>
        <v>349.32024711776421</v>
      </c>
      <c r="G8" s="34"/>
      <c r="H8" s="33"/>
      <c r="I8" s="33"/>
      <c r="J8" s="33">
        <f>$C$28*('E Balans VL '!D13+'E Balans VL '!E13)/100/3.6*1000000</f>
        <v>0</v>
      </c>
      <c r="K8" s="33"/>
      <c r="L8" s="33"/>
      <c r="M8" s="33"/>
      <c r="N8" s="33">
        <f>$C$28*'E Balans VL '!Y13/100/3.6*1000000</f>
        <v>2.1139117285104838</v>
      </c>
      <c r="O8" s="33"/>
      <c r="P8" s="33"/>
      <c r="R8" s="32"/>
    </row>
    <row r="9" spans="1:18">
      <c r="A9" s="32" t="s">
        <v>51</v>
      </c>
      <c r="B9" s="37">
        <f t="shared" si="0"/>
        <v>64.537934937000003</v>
      </c>
      <c r="C9" s="33"/>
      <c r="D9" s="37">
        <f>IF(ISERROR(TER_gezond_gas_kWh/1000),0,TER_gezond_gas_kWh/1000)*0.902</f>
        <v>219.1111892024</v>
      </c>
      <c r="E9" s="33">
        <f>$C$29*'E Balans VL '!I10/100/3.6*1000000</f>
        <v>8.2627436873310613E-3</v>
      </c>
      <c r="F9" s="33">
        <f>$C$29*('E Balans VL '!L10+'E Balans VL '!N10)/100/3.6*1000000</f>
        <v>13.445956880128662</v>
      </c>
      <c r="G9" s="34"/>
      <c r="H9" s="33"/>
      <c r="I9" s="33"/>
      <c r="J9" s="33">
        <f>$C$29*('E Balans VL '!D10+'E Balans VL '!E10)/100/3.6*1000000</f>
        <v>0</v>
      </c>
      <c r="K9" s="33"/>
      <c r="L9" s="33"/>
      <c r="M9" s="33"/>
      <c r="N9" s="33">
        <f>$C$29*'E Balans VL '!Y10/100/3.6*1000000</f>
        <v>0.75802855047343376</v>
      </c>
      <c r="O9" s="33"/>
      <c r="P9" s="33"/>
      <c r="R9" s="32"/>
    </row>
    <row r="10" spans="1:18">
      <c r="A10" s="32" t="s">
        <v>50</v>
      </c>
      <c r="B10" s="37">
        <f t="shared" si="0"/>
        <v>992.38003867999998</v>
      </c>
      <c r="C10" s="33"/>
      <c r="D10" s="37">
        <f>IF(ISERROR(TER_ander_gas_kWh/1000),0,TER_ander_gas_kWh/1000)*0.902</f>
        <v>672.62068631054001</v>
      </c>
      <c r="E10" s="33">
        <f>$C$30*'E Balans VL '!I14/100/3.6*1000000</f>
        <v>1.4923062045394833</v>
      </c>
      <c r="F10" s="33">
        <f>$C$30*('E Balans VL '!L14+'E Balans VL '!N14)/100/3.6*1000000</f>
        <v>219.08552356993869</v>
      </c>
      <c r="G10" s="34"/>
      <c r="H10" s="33"/>
      <c r="I10" s="33"/>
      <c r="J10" s="33">
        <f>$C$30*('E Balans VL '!D14+'E Balans VL '!E14)/100/3.6*1000000</f>
        <v>0</v>
      </c>
      <c r="K10" s="33"/>
      <c r="L10" s="33"/>
      <c r="M10" s="33"/>
      <c r="N10" s="33">
        <f>$C$30*'E Balans VL '!Y14/100/3.6*1000000</f>
        <v>782.06225513841082</v>
      </c>
      <c r="O10" s="33"/>
      <c r="P10" s="33"/>
      <c r="R10" s="32"/>
    </row>
    <row r="11" spans="1:18">
      <c r="A11" s="32" t="s">
        <v>55</v>
      </c>
      <c r="B11" s="37">
        <f t="shared" si="0"/>
        <v>32.351395146000002</v>
      </c>
      <c r="C11" s="33"/>
      <c r="D11" s="37">
        <f>IF(ISERROR(TER_onderwijs_gas_kWh/1000),0,TER_onderwijs_gas_kWh/1000)*0.902</f>
        <v>313.46769841508006</v>
      </c>
      <c r="E11" s="33">
        <f>$C$31*'E Balans VL '!I11/100/3.6*1000000</f>
        <v>5.6973517889648155E-2</v>
      </c>
      <c r="F11" s="33">
        <f>$C$31*('E Balans VL '!L11+'E Balans VL '!N11)/100/3.6*1000000</f>
        <v>14.937224536435162</v>
      </c>
      <c r="G11" s="34"/>
      <c r="H11" s="33"/>
      <c r="I11" s="33"/>
      <c r="J11" s="33">
        <f>$C$31*('E Balans VL '!D11+'E Balans VL '!E11)/100/3.6*1000000</f>
        <v>0</v>
      </c>
      <c r="K11" s="33"/>
      <c r="L11" s="33"/>
      <c r="M11" s="33"/>
      <c r="N11" s="33">
        <f>$C$31*'E Balans VL '!Y11/100/3.6*1000000</f>
        <v>6.0271096537282465E-2</v>
      </c>
      <c r="O11" s="33"/>
      <c r="P11" s="33"/>
      <c r="R11" s="32"/>
    </row>
    <row r="12" spans="1:18">
      <c r="A12" s="32" t="s">
        <v>260</v>
      </c>
      <c r="B12" s="37">
        <f t="shared" si="0"/>
        <v>2028.949971</v>
      </c>
      <c r="C12" s="33"/>
      <c r="D12" s="37">
        <f>IF(ISERROR(TER_rest_gas_kWh/1000),0,TER_rest_gas_kWh/1000)*0.902</f>
        <v>2076.7364486968004</v>
      </c>
      <c r="E12" s="33">
        <f>$C$32*'E Balans VL '!I8/100/3.6*1000000</f>
        <v>35.722731216310081</v>
      </c>
      <c r="F12" s="33">
        <f>$C$32*('E Balans VL '!L8+'E Balans VL '!N8)/100/3.6*1000000</f>
        <v>522.72106798277844</v>
      </c>
      <c r="G12" s="34"/>
      <c r="H12" s="33"/>
      <c r="I12" s="33"/>
      <c r="J12" s="33">
        <f>$C$32*('E Balans VL '!D8+'E Balans VL '!E8)/100/3.6*1000000</f>
        <v>0</v>
      </c>
      <c r="K12" s="33"/>
      <c r="L12" s="33"/>
      <c r="M12" s="33"/>
      <c r="N12" s="33">
        <f>$C$32*'E Balans VL '!Y8/100/3.6*1000000</f>
        <v>179.03851686414512</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7368.5731525629999</v>
      </c>
      <c r="C16" s="21">
        <f t="shared" ca="1" si="1"/>
        <v>0</v>
      </c>
      <c r="D16" s="21">
        <f t="shared" ca="1" si="1"/>
        <v>7229.4968837014003</v>
      </c>
      <c r="E16" s="21">
        <f t="shared" si="1"/>
        <v>150.44558551892493</v>
      </c>
      <c r="F16" s="21">
        <f t="shared" ca="1" si="1"/>
        <v>1964.5641977695027</v>
      </c>
      <c r="G16" s="21">
        <f t="shared" si="1"/>
        <v>0</v>
      </c>
      <c r="H16" s="21">
        <f t="shared" si="1"/>
        <v>0</v>
      </c>
      <c r="I16" s="21">
        <f t="shared" si="1"/>
        <v>0</v>
      </c>
      <c r="J16" s="21">
        <f t="shared" si="1"/>
        <v>0</v>
      </c>
      <c r="K16" s="21">
        <f t="shared" si="1"/>
        <v>0</v>
      </c>
      <c r="L16" s="21">
        <f t="shared" ca="1" si="1"/>
        <v>0</v>
      </c>
      <c r="M16" s="21">
        <f t="shared" si="1"/>
        <v>0</v>
      </c>
      <c r="N16" s="21">
        <f t="shared" ca="1" si="1"/>
        <v>965.57161970068614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0.19807523157906776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1459.5318336012176</v>
      </c>
      <c r="C20" s="23">
        <f t="shared" ref="C20:P20" ca="1" si="2">C16*C18</f>
        <v>0</v>
      </c>
      <c r="D20" s="23">
        <f t="shared" ca="1" si="2"/>
        <v>1460.358370507683</v>
      </c>
      <c r="E20" s="23">
        <f t="shared" si="2"/>
        <v>34.151147912795963</v>
      </c>
      <c r="F20" s="23">
        <f t="shared" ca="1" si="2"/>
        <v>524.53864080445726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1238.1381701</v>
      </c>
      <c r="C26" s="39">
        <f>IF(ISERROR(B26*3.6/1000000/'E Balans VL '!Z12*100),0,B26*3.6/1000000/'E Balans VL '!Z12*100)</f>
        <v>2.652188147563151E-2</v>
      </c>
      <c r="D26" s="237" t="s">
        <v>660</v>
      </c>
      <c r="F26" s="6"/>
    </row>
    <row r="27" spans="1:18">
      <c r="A27" s="231" t="s">
        <v>53</v>
      </c>
      <c r="B27" s="33">
        <f>IF(ISERROR(TER_horeca_ele_kWh/1000),0,TER_horeca_ele_kWh/1000)</f>
        <v>1231.0382712999999</v>
      </c>
      <c r="C27" s="39">
        <f>IF(ISERROR(B27*3.6/1000000/'E Balans VL '!Z9*100),0,B27*3.6/1000000/'E Balans VL '!Z9*100)</f>
        <v>9.8786542226470875E-2</v>
      </c>
      <c r="D27" s="237" t="s">
        <v>660</v>
      </c>
      <c r="F27" s="6"/>
    </row>
    <row r="28" spans="1:18">
      <c r="A28" s="171" t="s">
        <v>52</v>
      </c>
      <c r="B28" s="33">
        <f>IF(ISERROR(TER_handel_ele_kWh/1000),0,TER_handel_ele_kWh/1000)</f>
        <v>1781.1773714000001</v>
      </c>
      <c r="C28" s="39">
        <f>IF(ISERROR(B28*3.6/1000000/'E Balans VL '!Z13*100),0,B28*3.6/1000000/'E Balans VL '!Z13*100)</f>
        <v>5.2534516030397778E-2</v>
      </c>
      <c r="D28" s="237" t="s">
        <v>660</v>
      </c>
      <c r="F28" s="6"/>
    </row>
    <row r="29" spans="1:18">
      <c r="A29" s="231" t="s">
        <v>51</v>
      </c>
      <c r="B29" s="33">
        <f>IF(ISERROR(TER_gezond_ele_kWh/1000),0,TER_gezond_ele_kWh/1000)</f>
        <v>64.537934937000003</v>
      </c>
      <c r="C29" s="39">
        <f>IF(ISERROR(B29*3.6/1000000/'E Balans VL '!Z10*100),0,B29*3.6/1000000/'E Balans VL '!Z10*100)</f>
        <v>6.8909211243492145E-3</v>
      </c>
      <c r="D29" s="237" t="s">
        <v>660</v>
      </c>
      <c r="F29" s="6"/>
    </row>
    <row r="30" spans="1:18">
      <c r="A30" s="231" t="s">
        <v>50</v>
      </c>
      <c r="B30" s="33">
        <f>IF(ISERROR(TER_ander_ele_kWh/1000),0,TER_ander_ele_kWh/1000)</f>
        <v>992.38003867999998</v>
      </c>
      <c r="C30" s="39">
        <f>IF(ISERROR(B30*3.6/1000000/'E Balans VL '!Z14*100),0,B30*3.6/1000000/'E Balans VL '!Z14*100)</f>
        <v>7.4958361240723539E-2</v>
      </c>
      <c r="D30" s="237" t="s">
        <v>660</v>
      </c>
      <c r="F30" s="6"/>
    </row>
    <row r="31" spans="1:18">
      <c r="A31" s="231" t="s">
        <v>55</v>
      </c>
      <c r="B31" s="33">
        <f>IF(ISERROR(TER_onderwijs_ele_kWh/1000),0,TER_onderwijs_ele_kWh/1000)</f>
        <v>32.351395146000002</v>
      </c>
      <c r="C31" s="39">
        <f>IF(ISERROR(B31*3.6/1000000/'E Balans VL '!Z11*100),0,B31*3.6/1000000/'E Balans VL '!Z11*100)</f>
        <v>6.5328266529798363E-3</v>
      </c>
      <c r="D31" s="237" t="s">
        <v>660</v>
      </c>
    </row>
    <row r="32" spans="1:18">
      <c r="A32" s="231" t="s">
        <v>260</v>
      </c>
      <c r="B32" s="33">
        <f>IF(ISERROR(TER_rest_ele_kWh/1000),0,TER_rest_ele_kWh/1000)</f>
        <v>2028.949971</v>
      </c>
      <c r="C32" s="39">
        <f>IF(ISERROR(B32*3.6/1000000/'E Balans VL '!Z8*100),0,B32*3.6/1000000/'E Balans VL '!Z8*100)</f>
        <v>1.6822820552042619E-2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5802.8737160350001</v>
      </c>
      <c r="C5" s="17">
        <f>IF(ISERROR('Eigen informatie GS &amp; warmtenet'!B59),0,'Eigen informatie GS &amp; warmtenet'!B59)</f>
        <v>0</v>
      </c>
      <c r="D5" s="30">
        <f>SUM(D6:D15)</f>
        <v>27434.728325860902</v>
      </c>
      <c r="E5" s="17">
        <f>SUM(E6:E15)</f>
        <v>488.55219424595509</v>
      </c>
      <c r="F5" s="17">
        <f>SUM(F6:F15)</f>
        <v>1852.6781774842684</v>
      </c>
      <c r="G5" s="18"/>
      <c r="H5" s="17"/>
      <c r="I5" s="17"/>
      <c r="J5" s="17">
        <f>SUM(J6:J15)</f>
        <v>37.365892641403327</v>
      </c>
      <c r="K5" s="17"/>
      <c r="L5" s="17"/>
      <c r="M5" s="17"/>
      <c r="N5" s="17">
        <f>SUM(N6:N15)</f>
        <v>1312.2632124746751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18.730787445000001</v>
      </c>
      <c r="C8" s="33"/>
      <c r="D8" s="37">
        <f>IF( ISERROR(IND_metaal_Gas_kWH/1000),0,IND_metaal_Gas_kWH/1000)*0.902</f>
        <v>0</v>
      </c>
      <c r="E8" s="33">
        <f>C30*'E Balans VL '!I18/100/3.6*1000000</f>
        <v>0.67399039674429273</v>
      </c>
      <c r="F8" s="33">
        <f>C30*'E Balans VL '!L18/100/3.6*1000000+C30*'E Balans VL '!N18/100/3.6*1000000</f>
        <v>8.1791276904296843</v>
      </c>
      <c r="G8" s="34"/>
      <c r="H8" s="33"/>
      <c r="I8" s="33"/>
      <c r="J8" s="40">
        <f>C30*'E Balans VL '!D18/100/3.6*1000000+C30*'E Balans VL '!E18/100/3.6*1000000</f>
        <v>0</v>
      </c>
      <c r="K8" s="33"/>
      <c r="L8" s="33"/>
      <c r="M8" s="33"/>
      <c r="N8" s="33">
        <f>C30*'E Balans VL '!Y18/100/3.6*1000000</f>
        <v>0.93877433782457997</v>
      </c>
      <c r="O8" s="33"/>
      <c r="P8" s="33"/>
      <c r="R8" s="32"/>
    </row>
    <row r="9" spans="1:18">
      <c r="A9" s="6" t="s">
        <v>33</v>
      </c>
      <c r="B9" s="37">
        <f t="shared" si="0"/>
        <v>904.81498176000002</v>
      </c>
      <c r="C9" s="33"/>
      <c r="D9" s="37">
        <f>IF( ISERROR(IND_andere_gas_kWh/1000),0,IND_andere_gas_kWh/1000)*0.902</f>
        <v>459.74980765890001</v>
      </c>
      <c r="E9" s="33">
        <f>C31*'E Balans VL '!I19/100/3.6*1000000</f>
        <v>230.88831133278995</v>
      </c>
      <c r="F9" s="33">
        <f>C31*'E Balans VL '!L19/100/3.6*1000000+C31*'E Balans VL '!N19/100/3.6*1000000</f>
        <v>778.97769075738597</v>
      </c>
      <c r="G9" s="34"/>
      <c r="H9" s="33"/>
      <c r="I9" s="33"/>
      <c r="J9" s="40">
        <f>C31*'E Balans VL '!D19/100/3.6*1000000+C31*'E Balans VL '!E19/100/3.6*1000000</f>
        <v>0</v>
      </c>
      <c r="K9" s="33"/>
      <c r="L9" s="33"/>
      <c r="M9" s="33"/>
      <c r="N9" s="33">
        <f>C31*'E Balans VL '!Y19/100/3.6*1000000</f>
        <v>282.9666314732666</v>
      </c>
      <c r="O9" s="33"/>
      <c r="P9" s="33"/>
      <c r="R9" s="32"/>
    </row>
    <row r="10" spans="1:18">
      <c r="A10" s="6" t="s">
        <v>41</v>
      </c>
      <c r="B10" s="37">
        <f t="shared" si="0"/>
        <v>267.55923732999997</v>
      </c>
      <c r="C10" s="33"/>
      <c r="D10" s="37">
        <f>IF( ISERROR(IND_voed_gas_kWh/1000),0,IND_voed_gas_kWh/1000)*0.902</f>
        <v>0</v>
      </c>
      <c r="E10" s="33">
        <f>C32*'E Balans VL '!I20/100/3.6*1000000</f>
        <v>6.8017232018683567</v>
      </c>
      <c r="F10" s="33">
        <f>C32*'E Balans VL '!L20/100/3.6*1000000+C32*'E Balans VL '!N20/100/3.6*1000000</f>
        <v>60.544638997251205</v>
      </c>
      <c r="G10" s="34"/>
      <c r="H10" s="33"/>
      <c r="I10" s="33"/>
      <c r="J10" s="40">
        <f>C32*'E Balans VL '!D20/100/3.6*1000000+C32*'E Balans VL '!E20/100/3.6*1000000</f>
        <v>0</v>
      </c>
      <c r="K10" s="33"/>
      <c r="L10" s="33"/>
      <c r="M10" s="33"/>
      <c r="N10" s="33">
        <f>C32*'E Balans VL '!Y20/100/3.6*1000000</f>
        <v>100.34196647714434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3.2050000000000001</v>
      </c>
      <c r="C12" s="33"/>
      <c r="D12" s="37">
        <f>IF( ISERROR(IND_min_gas_kWh/1000),0,IND_min_gas_kWh/1000)*0.902</f>
        <v>0</v>
      </c>
      <c r="E12" s="33">
        <f>C34*'E Balans VL '!I22/100/3.6*1000000</f>
        <v>6.8098217557801002E-2</v>
      </c>
      <c r="F12" s="33">
        <f>C34*'E Balans VL '!L22/100/3.6*1000000+C34*'E Balans VL '!N22/100/3.6*1000000</f>
        <v>0.52292306332606286</v>
      </c>
      <c r="G12" s="34"/>
      <c r="H12" s="33"/>
      <c r="I12" s="33"/>
      <c r="J12" s="40">
        <f>C34*'E Balans VL '!D22/100/3.6*1000000+C34*'E Balans VL '!E22/100/3.6*1000000</f>
        <v>3.7341240922408015E-3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4608.5637095000002</v>
      </c>
      <c r="C15" s="33"/>
      <c r="D15" s="37">
        <f>IF( ISERROR(IND_rest_gas_kWh/1000),0,IND_rest_gas_kWh/1000)*0.902</f>
        <v>26974.978518202002</v>
      </c>
      <c r="E15" s="33">
        <f>C37*'E Balans VL '!I15/100/3.6*1000000</f>
        <v>250.12007109699471</v>
      </c>
      <c r="F15" s="33">
        <f>C37*'E Balans VL '!L15/100/3.6*1000000+C37*'E Balans VL '!N15/100/3.6*1000000</f>
        <v>1004.4537969758755</v>
      </c>
      <c r="G15" s="34"/>
      <c r="H15" s="33"/>
      <c r="I15" s="33"/>
      <c r="J15" s="40">
        <f>C37*'E Balans VL '!D15/100/3.6*1000000+C37*'E Balans VL '!E15/100/3.6*1000000</f>
        <v>37.362158517311087</v>
      </c>
      <c r="K15" s="33"/>
      <c r="L15" s="33"/>
      <c r="M15" s="33"/>
      <c r="N15" s="33">
        <f>C37*'E Balans VL '!Y15/100/3.6*1000000</f>
        <v>928.01584018643973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5802.8737160350001</v>
      </c>
      <c r="C18" s="21">
        <f>C5+C16</f>
        <v>0</v>
      </c>
      <c r="D18" s="21">
        <f>MAX((D5+D16),0)</f>
        <v>27434.728325860902</v>
      </c>
      <c r="E18" s="21">
        <f>MAX((E5+E16),0)</f>
        <v>488.55219424595509</v>
      </c>
      <c r="F18" s="21">
        <f>MAX((F5+F16),0)</f>
        <v>1852.6781774842684</v>
      </c>
      <c r="G18" s="21"/>
      <c r="H18" s="21"/>
      <c r="I18" s="21"/>
      <c r="J18" s="21">
        <f>MAX((J5+J16),0)</f>
        <v>37.365892641403327</v>
      </c>
      <c r="K18" s="21"/>
      <c r="L18" s="21">
        <f>MAX((L5+L16),0)</f>
        <v>0</v>
      </c>
      <c r="M18" s="21"/>
      <c r="N18" s="21">
        <f>MAX((N5+N16),0)</f>
        <v>1312.2632124746751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0.19807523157906776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1149.4055551277181</v>
      </c>
      <c r="C22" s="23">
        <f ca="1">C18*C20</f>
        <v>0</v>
      </c>
      <c r="D22" s="23">
        <f>D18*D20</f>
        <v>5541.8151218239027</v>
      </c>
      <c r="E22" s="23">
        <f>E18*E20</f>
        <v>110.90134809383181</v>
      </c>
      <c r="F22" s="23">
        <f>F18*F20</f>
        <v>494.66507338829967</v>
      </c>
      <c r="G22" s="23"/>
      <c r="H22" s="23"/>
      <c r="I22" s="23"/>
      <c r="J22" s="23">
        <f>J18*J20</f>
        <v>13.227525995056777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18.730787445000001</v>
      </c>
      <c r="C30" s="39">
        <f>IF(ISERROR(B30*3.6/1000000/'E Balans VL '!Z18*100),0,B30*3.6/1000000/'E Balans VL '!Z18*100)</f>
        <v>3.9686522820964725E-3</v>
      </c>
      <c r="D30" s="237" t="s">
        <v>660</v>
      </c>
    </row>
    <row r="31" spans="1:18">
      <c r="A31" s="6" t="s">
        <v>33</v>
      </c>
      <c r="B31" s="37">
        <f>IF( ISERROR(IND_ander_ele_kWh/1000),0,IND_ander_ele_kWh/1000)</f>
        <v>904.81498176000002</v>
      </c>
      <c r="C31" s="39">
        <f>IF(ISERROR(B31*3.6/1000000/'E Balans VL '!Z19*100),0,B31*3.6/1000000/'E Balans VL '!Z19*100)</f>
        <v>3.8085717114112197E-2</v>
      </c>
      <c r="D31" s="237" t="s">
        <v>660</v>
      </c>
    </row>
    <row r="32" spans="1:18">
      <c r="A32" s="171" t="s">
        <v>41</v>
      </c>
      <c r="B32" s="37">
        <f>IF( ISERROR(IND_voed_ele_kWh/1000),0,IND_voed_ele_kWh/1000)</f>
        <v>267.55923732999997</v>
      </c>
      <c r="C32" s="39">
        <f>IF(ISERROR(B32*3.6/1000000/'E Balans VL '!Z20*100),0,B32*3.6/1000000/'E Balans VL '!Z20*100)</f>
        <v>4.469879782054445E-2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3.2050000000000001</v>
      </c>
      <c r="C34" s="39">
        <f>IF(ISERROR(B34*3.6/1000000/'E Balans VL '!Z22*100),0,B34*3.6/1000000/'E Balans VL '!Z22*100)</f>
        <v>4.0625103451395083E-4</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4608.5637095000002</v>
      </c>
      <c r="C37" s="39">
        <f>IF(ISERROR(B37*3.6/1000000/'E Balans VL '!Z15*100),0,B37*3.6/1000000/'E Balans VL '!Z15*100)</f>
        <v>3.7206719344452958E-2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597.444726737</v>
      </c>
      <c r="C5" s="17">
        <f>'Eigen informatie GS &amp; warmtenet'!B60</f>
        <v>0</v>
      </c>
      <c r="D5" s="30">
        <f>IF(ISERROR(SUM(LB_lb_gas_kWh,LB_rest_gas_kWh,onbekend_gas_kWh)/1000),0,SUM(LB_lb_gas_kWh,LB_rest_gas_kWh,onbekend_gas_kWh)/1000)*0.902</f>
        <v>855.80573495579813</v>
      </c>
      <c r="E5" s="17">
        <f>B17*'E Balans VL '!I25/3.6*1000000/100</f>
        <v>15.405805580007861</v>
      </c>
      <c r="F5" s="17">
        <f>B17*('E Balans VL '!L25/3.6*1000000+'E Balans VL '!N25/3.6*1000000)/100</f>
        <v>2183.7742540449412</v>
      </c>
      <c r="G5" s="18"/>
      <c r="H5" s="17"/>
      <c r="I5" s="17"/>
      <c r="J5" s="17">
        <f>('E Balans VL '!D25+'E Balans VL '!E25)/3.6*1000000*landbouw!B17/100</f>
        <v>86.01006265584482</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597.444726737</v>
      </c>
      <c r="C8" s="21">
        <f>C5+C6</f>
        <v>0</v>
      </c>
      <c r="D8" s="21">
        <f>MAX((D5+D6),0)</f>
        <v>855.80573495579813</v>
      </c>
      <c r="E8" s="21">
        <f>MAX((E5+E6),0)</f>
        <v>15.405805580007861</v>
      </c>
      <c r="F8" s="21">
        <f>MAX((F5+F6),0)</f>
        <v>2183.7742540449412</v>
      </c>
      <c r="G8" s="21"/>
      <c r="H8" s="21"/>
      <c r="I8" s="21"/>
      <c r="J8" s="21">
        <f>MAX((J5+J6),0)</f>
        <v>86.01006265584482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0.19807523157906776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118.33900260412413</v>
      </c>
      <c r="C12" s="23">
        <f ca="1">C8*C10</f>
        <v>0</v>
      </c>
      <c r="D12" s="23">
        <f>D8*D10</f>
        <v>172.87275846107124</v>
      </c>
      <c r="E12" s="23">
        <f>E8*E10</f>
        <v>3.4971178666617848</v>
      </c>
      <c r="F12" s="23">
        <f>F8*F10</f>
        <v>583.06772582999929</v>
      </c>
      <c r="G12" s="23"/>
      <c r="H12" s="23"/>
      <c r="I12" s="23"/>
      <c r="J12" s="23">
        <f>J8*J10</f>
        <v>30.447562180169065</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8.4243663855050985E-2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58.293241877294378</v>
      </c>
      <c r="C26" s="247">
        <f>B26*'GWP N2O_CH4'!B5</f>
        <v>1224.158079423182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14.268435605927678</v>
      </c>
      <c r="C27" s="247">
        <f>B27*'GWP N2O_CH4'!B5</f>
        <v>299.63714772448122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1.2964676543796176</v>
      </c>
      <c r="C28" s="247">
        <f>B28*'GWP N2O_CH4'!B4</f>
        <v>401.90497285768146</v>
      </c>
      <c r="D28" s="50"/>
    </row>
    <row r="29" spans="1:4">
      <c r="A29" s="41" t="s">
        <v>277</v>
      </c>
      <c r="B29" s="247">
        <f>B34*'ha_N2O bodem landbouw'!B4</f>
        <v>3.0260149076928338</v>
      </c>
      <c r="C29" s="247">
        <f>B29*'GWP N2O_CH4'!B4</f>
        <v>938.06462138477843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6.8101779266438618E-4</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2.6866918386429442E-5</v>
      </c>
      <c r="C5" s="463" t="s">
        <v>211</v>
      </c>
      <c r="D5" s="448">
        <f>SUM(D6:D11)</f>
        <v>6.0228334460471031E-5</v>
      </c>
      <c r="E5" s="448">
        <f>SUM(E6:E11)</f>
        <v>2.3236837249702199E-4</v>
      </c>
      <c r="F5" s="461" t="s">
        <v>211</v>
      </c>
      <c r="G5" s="448">
        <f>SUM(G6:G11)</f>
        <v>6.7057632040870924E-2</v>
      </c>
      <c r="H5" s="448">
        <f>SUM(H6:H11)</f>
        <v>1.6180518410191063E-2</v>
      </c>
      <c r="I5" s="463" t="s">
        <v>211</v>
      </c>
      <c r="J5" s="463" t="s">
        <v>211</v>
      </c>
      <c r="K5" s="463" t="s">
        <v>211</v>
      </c>
      <c r="L5" s="463" t="s">
        <v>211</v>
      </c>
      <c r="M5" s="448">
        <f>SUM(M6:M11)</f>
        <v>2.597539595756451E-3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2.2397872166844824E-5</v>
      </c>
      <c r="C6" s="449"/>
      <c r="D6" s="962">
        <f>vkm_2011_GW_PW*SUMIFS(TableVerdeelsleutelVkm[CNG],TableVerdeelsleutelVkm[Voertuigtype],"Lichte voertuigen")*SUMIFS(TableECFTransport[EnergieConsumptieFactor (PJ per km)],TableECFTransport[Index],CONCATENATE($A6,"_CNG_CNG"))</f>
        <v>4.450496432862034E-5</v>
      </c>
      <c r="E6" s="962">
        <f>vkm_2011_GW_PW*SUMIFS(TableVerdeelsleutelVkm[LPG],TableVerdeelsleutelVkm[Voertuigtype],"Lichte voertuigen")*SUMIFS(TableECFTransport[EnergieConsumptieFactor (PJ per km)],TableECFTransport[Index],CONCATENATE($A6,"_LPG_LPG"))</f>
        <v>1.7514298846686219E-4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4.1642993151061021E-2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1.2048832746009043E-2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1.6730868747096479E-3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1.0725095130376894E-2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3.4646638335460568E-6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3.3793133734681295E-4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4.469046219584617E-6</v>
      </c>
      <c r="C8" s="449"/>
      <c r="D8" s="451">
        <f>vkm_2011_NGW_PW*SUMIFS(TableVerdeelsleutelVkm[CNG],TableVerdeelsleutelVkm[Voertuigtype],"Lichte voertuigen")*SUMIFS(TableECFTransport[EnergieConsumptieFactor (PJ per km)],TableECFTransport[Index],CONCATENATE($A8,"_CNG_CNG"))</f>
        <v>1.5723370131850694E-5</v>
      </c>
      <c r="E8" s="451">
        <f>vkm_2011_NGW_PW*SUMIFS(TableVerdeelsleutelVkm[LPG],TableVerdeelsleutelVkm[Voertuigtype],"Lichte voertuigen")*SUMIFS(TableECFTransport[EnergieConsumptieFactor (PJ per km)],TableECFTransport[Index],CONCATENATE($A8,"_LPG_LPG"))</f>
        <v>5.7225384030159786E-5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1.2705643918808397E-2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4.127614902125468E-3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5.2401277858886615E-4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1.9838998406246124E-3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6.0609822300657564E-7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6.2508605111124218E-5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7.46303288511929</v>
      </c>
      <c r="C14" s="21"/>
      <c r="D14" s="21">
        <f t="shared" ref="D14:M14" si="0">((D5)*10^9/3600)+D12</f>
        <v>16.730092905686398</v>
      </c>
      <c r="E14" s="21">
        <f t="shared" si="0"/>
        <v>64.546770138061675</v>
      </c>
      <c r="F14" s="21"/>
      <c r="G14" s="21">
        <f t="shared" si="0"/>
        <v>18627.120011353036</v>
      </c>
      <c r="H14" s="21">
        <f t="shared" si="0"/>
        <v>4494.588447275295</v>
      </c>
      <c r="I14" s="21"/>
      <c r="J14" s="21"/>
      <c r="K14" s="21"/>
      <c r="L14" s="21"/>
      <c r="M14" s="21">
        <f t="shared" si="0"/>
        <v>721.53877659901423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0.19807523157906776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1.4782419670022016</v>
      </c>
      <c r="C18" s="23"/>
      <c r="D18" s="23">
        <f t="shared" ref="D18:M18" si="1">D14*D16</f>
        <v>3.3794787669486528</v>
      </c>
      <c r="E18" s="23">
        <f t="shared" si="1"/>
        <v>14.65211682134</v>
      </c>
      <c r="F18" s="23"/>
      <c r="G18" s="23">
        <f t="shared" si="1"/>
        <v>4973.441043031261</v>
      </c>
      <c r="H18" s="23">
        <f t="shared" si="1"/>
        <v>1119.1525233715486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1.4091773706487883E-3</v>
      </c>
      <c r="H50" s="321">
        <f t="shared" si="2"/>
        <v>0</v>
      </c>
      <c r="I50" s="321">
        <f t="shared" si="2"/>
        <v>0</v>
      </c>
      <c r="J50" s="321">
        <f t="shared" si="2"/>
        <v>0</v>
      </c>
      <c r="K50" s="321">
        <f t="shared" si="2"/>
        <v>0</v>
      </c>
      <c r="L50" s="321">
        <f t="shared" si="2"/>
        <v>0</v>
      </c>
      <c r="M50" s="321">
        <f t="shared" si="2"/>
        <v>4.3709529451152792E-5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1.4091773706487883E-3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4.3709529451152792E-5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391.43815851355231</v>
      </c>
      <c r="H54" s="21">
        <f t="shared" si="3"/>
        <v>0</v>
      </c>
      <c r="I54" s="21">
        <f t="shared" si="3"/>
        <v>0</v>
      </c>
      <c r="J54" s="21">
        <f t="shared" si="3"/>
        <v>0</v>
      </c>
      <c r="K54" s="21">
        <f t="shared" si="3"/>
        <v>0</v>
      </c>
      <c r="L54" s="21">
        <f t="shared" si="3"/>
        <v>0</v>
      </c>
      <c r="M54" s="21">
        <f t="shared" si="3"/>
        <v>12.141535958653552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0.19807523157906776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104.51398832311847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3385.5534599504344</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3385.5534599504344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2018-06-27T09:41:05Z</dcterms:modified>
</cp:coreProperties>
</file>