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L6" i="17"/>
  <c r="L5" s="1"/>
  <c r="D6"/>
  <c r="D8" s="1"/>
  <c r="D12" s="1"/>
  <c r="E48" i="14" s="1"/>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M16" i="18"/>
  <c r="M19" s="1"/>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F22" i="16"/>
  <c r="G39" i="14" s="1"/>
  <c r="G41" s="1"/>
  <c r="N22" i="16"/>
  <c r="O39" i="14" s="1"/>
  <c r="O41" s="1"/>
  <c r="F8" i="48"/>
  <c r="Q4"/>
  <c r="N22"/>
  <c r="R11" i="14"/>
  <c r="J21" i="48"/>
  <c r="C10" i="13" l="1"/>
  <c r="C16" i="48" s="1"/>
  <c r="C30" s="1"/>
  <c r="C16" i="22"/>
  <c r="C29" i="20"/>
  <c r="C20" i="16"/>
  <c r="C22" s="1"/>
  <c r="D39" i="14" s="1"/>
  <c r="C18" i="15"/>
  <c r="C20" s="1"/>
  <c r="D36" i="14" s="1"/>
  <c r="C10" i="17"/>
  <c r="C12" s="1"/>
  <c r="D48" i="14" s="1"/>
  <c r="C56" i="22"/>
  <c r="C58" s="1"/>
  <c r="D44" i="14" s="1"/>
  <c r="D46" s="1"/>
  <c r="C17" i="49"/>
  <c r="C17" i="19"/>
  <c r="C19" s="1"/>
  <c r="D35" i="14" s="1"/>
  <c r="J8" i="48"/>
  <c r="J25" s="1"/>
  <c r="Q5"/>
  <c r="O13" i="14"/>
  <c r="O15" s="1"/>
  <c r="F13"/>
  <c r="F15" s="1"/>
  <c r="F23" s="1"/>
  <c r="N25" i="48"/>
  <c r="N31" s="1"/>
  <c r="N14"/>
  <c r="E25"/>
  <c r="E31" s="1"/>
  <c r="E14"/>
  <c r="K13" i="14"/>
  <c r="K15" s="1"/>
  <c r="K23" s="1"/>
  <c r="K55" s="1"/>
  <c r="H55"/>
  <c r="E55"/>
  <c r="C78"/>
  <c r="C81" s="1"/>
  <c r="J14" i="48"/>
  <c r="J31"/>
  <c r="Q8"/>
  <c r="Q14" s="1"/>
  <c r="R19" i="14"/>
  <c r="R20" s="1"/>
  <c r="H14" i="48"/>
  <c r="G31"/>
  <c r="H26"/>
  <c r="H31" s="1"/>
  <c r="F55" i="14"/>
  <c r="O53"/>
  <c r="G53"/>
  <c r="G55" s="1"/>
  <c r="O69" s="1"/>
  <c r="B9" i="6" s="1"/>
  <c r="B12" s="1"/>
  <c r="M53" i="14"/>
  <c r="M55" s="1"/>
  <c r="C12" i="13"/>
  <c r="D37" i="14" s="1"/>
  <c r="D41" s="1"/>
  <c r="C27" i="48"/>
  <c r="C22"/>
  <c r="C25"/>
  <c r="C29"/>
  <c r="C21"/>
  <c r="R13" i="14"/>
  <c r="R15" s="1"/>
  <c r="F25" i="48"/>
  <c r="F31" s="1"/>
  <c r="F14"/>
  <c r="C26" l="1"/>
  <c r="C23"/>
  <c r="C24"/>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<sst xmlns="http://schemas.openxmlformats.org/spreadsheetml/2006/main" count="2075" uniqueCount="874">
  <si>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</si>
  <si>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</si>
  <si>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</si>
  <si>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</si>
  <si>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</si>
  <si>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</si>
  <si>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</si>
  <si>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</si>
  <si>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</si>
  <si>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</si>
  <si>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</si>
  <si>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</si>
  <si>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</si>
  <si>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</si>
  <si>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</si>
  <si>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</si>
  <si>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</si>
  <si>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</si>
  <si>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</si>
  <si>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</si>
  <si>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</si>
  <si>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</si>
  <si>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</si>
  <si>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</si>
  <si>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</si>
  <si>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</si>
  <si>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</si>
  <si>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</si>
  <si>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</si>
  <si>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</si>
  <si>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</si>
  <si>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</si>
  <si>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</si>
  <si>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</si>
  <si>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</si>
  <si>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</si>
  <si>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</si>
  <si>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</si>
  <si>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</si>
  <si>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</si>
  <si>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</si>
  <si>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</si>
  <si>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</si>
  <si>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</si>
  <si>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</si>
  <si>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</si>
  <si>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</si>
  <si>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</si>
  <si>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</si>
  <si>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</si>
  <si>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</si>
  <si>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</si>
  <si>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</si>
  <si>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</si>
  <si>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</si>
  <si>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</si>
  <si>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</si>
  <si>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</si>
  <si>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</si>
  <si>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</si>
  <si>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</si>
  <si>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</si>
  <si>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</si>
  <si>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</si>
  <si>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</si>
  <si>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</si>
  <si>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</si>
  <si>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</si>
  <si>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</si>
  <si>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</si>
  <si>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</si>
  <si>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</si>
  <si>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</si>
  <si>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</si>
  <si>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</si>
  <si>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</si>
  <si>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</si>
  <si>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</si>
  <si>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</si>
  <si>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</si>
  <si>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</si>
  <si>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</si>
  <si>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</si>
  <si>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</si>
  <si>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</si>
  <si>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</si>
  <si>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</si>
  <si>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</si>
  <si>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</si>
  <si>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</si>
  <si>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</si>
  <si>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</si>
  <si>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</si>
  <si>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</si>
  <si>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</si>
  <si>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</si>
  <si>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</si>
  <si>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</si>
  <si>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</si>
  <si>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</si>
  <si>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</si>
  <si>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</si>
  <si>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</si>
  <si>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</si>
  <si>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</si>
  <si>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</si>
  <si>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</si>
  <si>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</si>
  <si>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</si>
  <si>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</si>
  <si>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</si>
  <si>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</si>
  <si>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</si>
  <si>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</si>
  <si>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</si>
  <si>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</si>
  <si>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</si>
  <si>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</si>
  <si>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</si>
  <si>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</si>
  <si>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</si>
  <si>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</si>
  <si>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</si>
  <si>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</si>
  <si>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</si>
  <si>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</si>
  <si>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</si>
  <si>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</si>
  <si>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</si>
  <si>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</si>
  <si>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</si>
  <si>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</si>
  <si>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</si>
  <si>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</si>
  <si>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</si>
  <si>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</si>
  <si>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</si>
  <si>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</si>
  <si>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</si>
  <si>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</si>
  <si>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</si>
  <si>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</si>
  <si>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</si>
  <si>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</si>
  <si>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</si>
  <si>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</si>
  <si>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</si>
  <si>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</si>
  <si>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</si>
  <si>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</si>
  <si>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</si>
  <si>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</si>
  <si>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</si>
  <si>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</si>
  <si>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</si>
  <si>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</si>
  <si>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</si>
  <si>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</si>
  <si>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</si>
  <si>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</si>
  <si>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</si>
  <si>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</si>
  <si>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</si>
  <si>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</si>
  <si>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</si>
  <si>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</si>
  <si>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</si>
  <si>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</si>
  <si>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</si>
  <si>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</si>
  <si>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</si>
  <si>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</si>
  <si>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</si>
  <si>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</si>
  <si>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</si>
  <si>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</si>
  <si>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</si>
  <si>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</si>
  <si>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</si>
  <si>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</si>
  <si>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</si>
  <si>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</si>
  <si>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</si>
  <si>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</si>
  <si>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</si>
  <si>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</si>
  <si>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</si>
  <si>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</si>
  <si>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</si>
  <si>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</si>
  <si>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</si>
  <si>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</si>
  <si>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</si>
  <si>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</si>
  <si>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</si>
  <si>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</si>
  <si>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</si>
  <si>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</si>
  <si>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</si>
  <si>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</si>
  <si>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</si>
  <si>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</si>
  <si>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</si>
  <si>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</si>
  <si>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</si>
  <si>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</si>
  <si>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</si>
  <si>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</si>
  <si>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</si>
  <si>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</si>
  <si>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</si>
  <si>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</si>
  <si>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</si>
  <si>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</si>
  <si>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</si>
  <si>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</si>
  <si>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</si>
  <si>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</si>
  <si>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</si>
  <si>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</si>
  <si>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</si>
  <si>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</si>
  <si>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</si>
  <si>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</si>
  <si>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</si>
  <si>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</si>
  <si>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</si>
  <si>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</si>
  <si>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</si>
  <si>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</si>
  <si>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</si>
  <si>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</si>
  <si>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</si>
  <si>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</si>
  <si>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</si>
  <si>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</si>
  <si>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</si>
  <si>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</si>
  <si>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</si>
  <si>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</si>
  <si>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</si>
  <si>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</si>
  <si>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</si>
  <si>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</si>
  <si>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</si>
  <si>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</si>
  <si>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</si>
  <si>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</si>
  <si>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</si>
  <si>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</si>
  <si>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</si>
  <si>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</si>
  <si>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</si>
  <si>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</si>
  <si>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</si>
  <si>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</si>
  <si>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</si>
  <si>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</si>
  <si>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</si>
  <si>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</si>
  <si>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</si>
  <si>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</si>
  <si>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</si>
  <si>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</si>
  <si>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</si>
  <si>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</si>
  <si>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</si>
  <si>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</si>
  <si>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</si>
  <si>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</si>
  <si>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</si>
  <si>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</si>
  <si>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</si>
  <si>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</si>
  <si>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</si>
  <si>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</si>
  <si>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</si>
  <si>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</si>
  <si>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</si>
  <si>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</si>
  <si>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</si>
  <si>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</si>
  <si>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</si>
  <si>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</si>
  <si>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</si>
  <si>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</si>
  <si>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</si>
  <si>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</si>
  <si>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</si>
  <si>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</si>
  <si>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</si>
  <si>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</si>
  <si>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</si>
  <si>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</si>
  <si>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</si>
  <si>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</si>
  <si>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</si>
  <si>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</si>
  <si>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</si>
  <si>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</si>
  <si>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</si>
  <si>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</si>
  <si>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</si>
  <si>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</si>
  <si>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</si>
  <si>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</si>
  <si>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</si>
  <si>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</si>
  <si>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</si>
  <si>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</si>
  <si>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</si>
  <si>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</si>
  <si>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</si>
  <si>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</si>
  <si>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</si>
  <si>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</si>
  <si>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</si>
  <si>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</si>
  <si>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</si>
  <si>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</si>
  <si>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</si>
  <si>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</si>
  <si>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</si>
  <si>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</si>
  <si>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</si>
  <si>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</si>
  <si>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</si>
  <si>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</si>
  <si>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</si>
  <si>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</si>
  <si>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</si>
  <si>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</si>
  <si>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</si>
  <si>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</si>
  <si>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</si>
  <si>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</si>
  <si>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</si>
  <si>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</si>
  <si>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</si>
  <si>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</si>
  <si>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</si>
  <si>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</si>
  <si>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</si>
  <si>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</si>
  <si>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</si>
  <si>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</si>
  <si>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</si>
  <si>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</si>
  <si>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</si>
  <si>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</si>
  <si>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</si>
  <si>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</si>
  <si>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</si>
  <si>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</si>
  <si>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</si>
  <si>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</si>
  <si>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</si>
  <si>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</si>
  <si>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</si>
  <si>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</si>
  <si>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</si>
  <si>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</si>
  <si>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</si>
  <si>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</si>
  <si>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</si>
  <si>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</si>
  <si>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</si>
  <si>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</si>
  <si>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</si>
  <si>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</si>
  <si>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</si>
  <si>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</si>
  <si>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</si>
  <si>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</si>
  <si>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</si>
  <si>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</si>
  <si>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</si>
  <si>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</si>
  <si>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</si>
  <si>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</si>
  <si>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</si>
  <si>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</si>
  <si>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</si>
  <si>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</si>
  <si>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</si>
  <si>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</si>
  <si>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</si>
  <si>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</si>
  <si>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</si>
  <si>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</si>
  <si>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</si>
  <si>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</si>
  <si>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</si>
  <si>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</si>
  <si>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</si>
  <si>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</si>
  <si>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</si>
  <si>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</si>
  <si>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</si>
  <si>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</si>
  <si>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</si>
  <si>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</si>
  <si>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</si>
  <si>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</si>
  <si>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</si>
  <si>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</si>
  <si>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</si>
  <si>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</si>
  <si>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</si>
  <si>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</si>
  <si>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</si>
  <si>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</si>
  <si>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</si>
  <si>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</si>
  <si>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</si>
  <si>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</si>
  <si>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</si>
  <si>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</si>
  <si>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</si>
  <si>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</si>
  <si>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</si>
  <si>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</si>
  <si>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</si>
  <si>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</si>
  <si>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</si>
  <si>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</si>
  <si>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</si>
  <si>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</si>
  <si>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</si>
  <si>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</si>
  <si>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</si>
  <si>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</si>
  <si>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</si>
  <si>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</si>
  <si>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</si>
  <si>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</si>
  <si>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</si>
  <si>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</si>
  <si>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</si>
  <si>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</si>
  <si>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</si>
  <si>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</si>
  <si>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</si>
  <si>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</si>
  <si>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</si>
  <si>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</si>
  <si>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</si>
  <si>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</si>
  <si>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</si>
  <si>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</si>
  <si>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</si>
  <si>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</si>
  <si>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</si>
  <si>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</si>
  <si>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</si>
  <si>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</si>
  <si>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</si>
  <si>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</si>
  <si>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</si>
  <si>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</si>
  <si>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</si>
  <si>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</si>
  <si>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</si>
  <si>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</si>
  <si>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</si>
  <si>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</si>
  <si>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</si>
  <si>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</si>
  <si>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</si>
  <si>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</si>
  <si>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</si>
  <si>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</si>
  <si>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</si>
  <si>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</si>
  <si>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</si>
  <si>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</si>
  <si>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</si>
  <si>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</si>
  <si>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</si>
  <si>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</si>
  <si>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</si>
  <si>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</si>
  <si>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</si>
  <si>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</si>
  <si>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</si>
  <si>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</si>
  <si>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</si>
  <si>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</si>
  <si>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</si>
  <si>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</si>
  <si>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</si>
  <si>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</si>
  <si>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</si>
  <si>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</si>
  <si>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</si>
  <si>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</si>
  <si>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</si>
  <si>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</si>
  <si>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</si>
  <si>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</si>
  <si>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</si>
  <si>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</si>
  <si>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</si>
  <si>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</si>
  <si>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</si>
  <si>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</si>
  <si>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</si>
  <si>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</si>
  <si>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</si>
  <si>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</si>
  <si>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</si>
  <si>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</si>
  <si>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</si>
  <si>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</si>
  <si>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</si>
  <si>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</si>
  <si>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</si>
  <si>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</si>
  <si>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</si>
  <si>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</si>
  <si>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</si>
  <si>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</si>
  <si>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</si>
  <si>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</si>
  <si>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</si>
  <si>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</si>
  <si>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</si>
  <si>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</si>
  <si>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</si>
  <si>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</si>
  <si>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</si>
  <si>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</si>
  <si>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</si>
  <si>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</si>
  <si>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</si>
  <si>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</si>
  <si>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</si>
  <si>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</si>
  <si>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</si>
  <si>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</si>
  <si>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</si>
  <si>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</si>
  <si>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</si>
  <si>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</si>
  <si>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</si>
  <si>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</si>
  <si>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</si>
  <si>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</si>
  <si>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</si>
  <si>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</si>
  <si>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</si>
  <si>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</si>
  <si>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</si>
  <si>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</si>
  <si>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</si>
  <si>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</si>
  <si>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</si>
  <si>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</si>
  <si>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</si>
  <si>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</si>
  <si>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</si>
  <si>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</si>
  <si>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</si>
  <si>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</si>
  <si>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</si>
  <si>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</si>
  <si>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</si>
  <si>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</si>
  <si>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</si>
  <si>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</si>
  <si>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</si>
  <si>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</si>
  <si>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</si>
  <si>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</si>
  <si>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</si>
  <si>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</si>
  <si>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</si>
  <si>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</si>
  <si>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</si>
  <si>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</si>
  <si>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</si>
  <si>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</si>
  <si>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</si>
  <si>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</si>
  <si>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</si>
  <si>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</si>
  <si>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</si>
  <si>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</si>
  <si>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</si>
  <si>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</si>
  <si>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</si>
  <si>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</si>
  <si>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</si>
  <si>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</si>
  <si>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</si>
  <si>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</si>
  <si>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</si>
  <si>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</si>
  <si>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</si>
  <si>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</si>
  <si>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</si>
  <si>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</si>
  <si>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</si>
  <si>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</si>
  <si>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</si>
  <si>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</si>
  <si>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</si>
  <si>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</si>
  <si>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</si>
  <si>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</si>
  <si>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</si>
  <si>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</si>
  <si>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</si>
  <si>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</si>
  <si>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</si>
  <si>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</si>
  <si>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</si>
  <si>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</si>
  <si>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</si>
  <si>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</si>
  <si>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</si>
  <si>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</si>
  <si>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</si>
  <si>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</si>
  <si>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</si>
  <si>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</si>
  <si>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</si>
  <si>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</si>
  <si>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</si>
  <si>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</si>
  <si>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</si>
  <si>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</si>
  <si>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</si>
  <si>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</si>
  <si>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</si>
  <si>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</si>
  <si>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</si>
  <si>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</si>
  <si>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</si>
  <si>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</si>
  <si>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</si>
  <si>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</si>
  <si>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</si>
  <si>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</si>
  <si>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</si>
  <si>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</si>
  <si>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</si>
  <si>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</si>
  <si>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</si>
  <si>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</si>
  <si>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</si>
  <si>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</si>
  <si>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</si>
  <si>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</si>
  <si>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</si>
  <si>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</si>
  <si>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</si>
  <si>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</si>
  <si>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</si>
  <si>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</si>
  <si>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</si>
  <si>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</si>
  <si>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</si>
  <si>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</si>
  <si>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</si>
  <si>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</si>
  <si>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</si>
  <si>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</si>
  <si>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</si>
  <si>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</si>
  <si>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</si>
  <si>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</si>
  <si>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</si>
  <si>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</si>
  <si>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</si>
  <si>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</si>
  <si>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</si>
  <si>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</si>
  <si>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</si>
  <si>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</si>
  <si>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</si>
  <si>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</si>
  <si>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</si>
  <si>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</si>
  <si>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</si>
  <si>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</si>
  <si>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</si>
  <si>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</si>
  <si>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</si>
  <si>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</si>
  <si>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</si>
  <si>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</si>
  <si>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</si>
  <si>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</si>
  <si>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</si>
  <si>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</si>
  <si>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</si>
  <si>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</si>
  <si>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</si>
  <si>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</si>
  <si>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</si>
  <si>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</si>
  <si>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</si>
  <si>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</si>
  <si>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</si>
  <si>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</si>
  <si>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</si>
  <si>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</si>
  <si>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</si>
  <si>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</si>
  <si>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</si>
  <si>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</si>
  <si>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</si>
  <si>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</si>
  <si>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</si>
  <si>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</si>
  <si>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</si>
  <si>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</si>
  <si>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</si>
  <si>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</si>
  <si>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</si>
  <si>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</si>
  <si>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</si>
  <si>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</si>
  <si>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</si>
  <si>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</si>
  <si>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</si>
  <si>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</si>
  <si>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</si>
  <si>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</si>
  <si>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</si>
  <si>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</si>
  <si>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</si>
  <si>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</si>
  <si>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</si>
  <si>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</si>
  <si>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</si>
  <si>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</si>
  <si>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</si>
  <si>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</si>
  <si>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</si>
  <si>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</si>
  <si>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</si>
  <si>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</si>
  <si>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</si>
  <si>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</si>
  <si>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</si>
  <si>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</si>
  <si>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</si>
  <si>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</si>
  <si>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</si>
  <si>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</si>
  <si>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</si>
  <si>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</si>
  <si>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</si>
  <si>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</si>
  <si>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</si>
  <si>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</si>
  <si>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</si>
  <si>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</si>
  <si>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</si>
  <si>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</si>
  <si>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</si>
  <si>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</si>
  <si>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</si>
  <si>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</si>
  <si>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</si>
  <si>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</si>
  <si>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</si>
  <si>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</si>
  <si>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</si>
  <si>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</si>
  <si>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</si>
  <si>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</si>
  <si>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</si>
  <si>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</si>
  <si>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</si>
  <si>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</si>
  <si>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</si>
  <si>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</si>
  <si>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</si>
  <si>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</si>
  <si>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</si>
  <si>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</si>
  <si>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</si>
  <si>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</si>
  <si>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</si>
  <si>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</si>
  <si>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</si>
  <si>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</si>
  <si>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</si>
  <si>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</si>
  <si>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</si>
  <si>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</si>
  <si>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</si>
  <si>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</si>
  <si>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</si>
  <si>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</si>
  <si>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</si>
  <si>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</si>
  <si>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</si>
  <si>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</si>
  <si>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</si>
  <si>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</si>
  <si>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</si>
  <si>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</si>
  <si>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</si>
  <si>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</si>
  <si>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</si>
  <si>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</si>
  <si>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13014</t>
  </si>
  <si>
    <t>HOOGSTRATEN</t>
  </si>
  <si>
    <t>Paarden&amp;pony's 200 - 600 kg</t>
  </si>
  <si>
    <t>Paarden&amp;pony's &lt; 200 kg</t>
  </si>
  <si>
    <t>referentietaak LNE (2017); Jaarverslag De Lijn (2015)</t>
  </si>
  <si>
    <t>op basis van VEA (maart 2018) en Inventaris Hernieuwbare Energiebronnen (juni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</si>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</sst>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170528.5814037961</c:v>
                </c:pt>
                <c:pt idx="1">
                  <c:v>119379.89894951691</c:v>
                </c:pt>
                <c:pt idx="2">
                  <c:v>1433.2249999999999</c:v>
                </c:pt>
                <c:pt idx="3">
                  <c:v>233854.93524609823</c:v>
                </c:pt>
                <c:pt idx="4">
                  <c:v>191553.87697448721</c:v>
                </c:pt>
                <c:pt idx="5">
                  <c:v>308163.32678518182</c:v>
                </c:pt>
                <c:pt idx="6">
                  <c:v>1828.5747513040972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170528.5814037961</c:v>
                </c:pt>
                <c:pt idx="1">
                  <c:v>119379.89894951691</c:v>
                </c:pt>
                <c:pt idx="2">
                  <c:v>1433.2249999999999</c:v>
                </c:pt>
                <c:pt idx="3">
                  <c:v>233854.93524609823</c:v>
                </c:pt>
                <c:pt idx="4">
                  <c:v>191553.87697448721</c:v>
                </c:pt>
                <c:pt idx="5">
                  <c:v>308163.32678518182</c:v>
                </c:pt>
                <c:pt idx="6">
                  <c:v>1828.5747513040972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27313.880171027409</c:v>
                </c:pt>
                <c:pt idx="1">
                  <c:v>23540.957152913263</c:v>
                </c:pt>
                <c:pt idx="2">
                  <c:v>247.65449863513135</c:v>
                </c:pt>
                <c:pt idx="3">
                  <c:v>56062.814958558047</c:v>
                </c:pt>
                <c:pt idx="4">
                  <c:v>33756.077912387736</c:v>
                </c:pt>
                <c:pt idx="5">
                  <c:v>79058.399335346956</c:v>
                </c:pt>
                <c:pt idx="6">
                  <c:v>473.54126786700203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27313.880171027409</c:v>
                </c:pt>
                <c:pt idx="1">
                  <c:v>23540.957152913263</c:v>
                </c:pt>
                <c:pt idx="2">
                  <c:v>247.65449863513135</c:v>
                </c:pt>
                <c:pt idx="3">
                  <c:v>56062.814958558047</c:v>
                </c:pt>
                <c:pt idx="4">
                  <c:v>33756.077912387736</c:v>
                </c:pt>
                <c:pt idx="5">
                  <c:v>79058.399335346956</c:v>
                </c:pt>
                <c:pt idx="6">
                  <c:v>473.54126786700203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8371</v>
      </c>
      <c r="C9" s="342">
        <v>8903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6354.95</v>
      </c>
    </row>
    <row r="15" spans="1:6">
      <c r="A15" s="348" t="s">
        <v>184</v>
      </c>
      <c r="B15" s="334">
        <v>2479</v>
      </c>
    </row>
    <row r="16" spans="1:6">
      <c r="A16" s="348" t="s">
        <v>6</v>
      </c>
      <c r="B16" s="334">
        <v>6537</v>
      </c>
    </row>
    <row r="17" spans="1:6">
      <c r="A17" s="348" t="s">
        <v>7</v>
      </c>
      <c r="B17" s="334">
        <v>893</v>
      </c>
    </row>
    <row r="18" spans="1:6">
      <c r="A18" s="348" t="s">
        <v>8</v>
      </c>
      <c r="B18" s="334">
        <v>3823</v>
      </c>
    </row>
    <row r="19" spans="1:6">
      <c r="A19" s="348" t="s">
        <v>9</v>
      </c>
      <c r="B19" s="334">
        <v>3380</v>
      </c>
    </row>
    <row r="20" spans="1:6">
      <c r="A20" s="348" t="s">
        <v>10</v>
      </c>
      <c r="B20" s="334">
        <v>1657</v>
      </c>
    </row>
    <row r="21" spans="1:6">
      <c r="A21" s="348" t="s">
        <v>11</v>
      </c>
      <c r="B21" s="334">
        <v>65451</v>
      </c>
    </row>
    <row r="22" spans="1:6">
      <c r="A22" s="348" t="s">
        <v>12</v>
      </c>
      <c r="B22" s="334">
        <v>164932</v>
      </c>
    </row>
    <row r="23" spans="1:6">
      <c r="A23" s="348" t="s">
        <v>13</v>
      </c>
      <c r="B23" s="334">
        <v>2894</v>
      </c>
    </row>
    <row r="24" spans="1:6">
      <c r="A24" s="348" t="s">
        <v>14</v>
      </c>
      <c r="B24" s="334">
        <v>205</v>
      </c>
    </row>
    <row r="25" spans="1:6">
      <c r="A25" s="348" t="s">
        <v>15</v>
      </c>
      <c r="B25" s="334">
        <v>13833</v>
      </c>
    </row>
    <row r="26" spans="1:6">
      <c r="A26" s="348" t="s">
        <v>16</v>
      </c>
      <c r="B26" s="334">
        <v>569</v>
      </c>
    </row>
    <row r="27" spans="1:6">
      <c r="A27" s="348" t="s">
        <v>17</v>
      </c>
      <c r="B27" s="334">
        <v>1962</v>
      </c>
    </row>
    <row r="28" spans="1:6" s="356" customFormat="1">
      <c r="A28" s="355" t="s">
        <v>18</v>
      </c>
      <c r="B28" s="355">
        <v>1207147</v>
      </c>
    </row>
    <row r="29" spans="1:6">
      <c r="A29" s="355" t="s">
        <v>812</v>
      </c>
      <c r="B29" s="355">
        <v>310</v>
      </c>
      <c r="C29" s="356"/>
      <c r="D29" s="356"/>
      <c r="E29" s="356"/>
      <c r="F29" s="356"/>
    </row>
    <row r="30" spans="1:6">
      <c r="A30" s="355" t="s">
        <v>813</v>
      </c>
      <c r="B30" s="341">
        <v>91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346903.32847000001</v>
      </c>
    </row>
    <row r="36" spans="1:6">
      <c r="A36" s="348" t="s">
        <v>25</v>
      </c>
      <c r="B36" s="348" t="s">
        <v>27</v>
      </c>
      <c r="C36" s="334">
        <v>0</v>
      </c>
      <c r="D36" s="334">
        <v>0</v>
      </c>
      <c r="E36" s="334">
        <v>6</v>
      </c>
      <c r="F36" s="334">
        <v>267428.94877000002</v>
      </c>
    </row>
    <row r="37" spans="1:6">
      <c r="A37" s="348" t="s">
        <v>25</v>
      </c>
      <c r="B37" s="348" t="s">
        <v>28</v>
      </c>
      <c r="C37" s="334">
        <v>0</v>
      </c>
      <c r="D37" s="334">
        <v>0</v>
      </c>
      <c r="E37" s="334">
        <v>0</v>
      </c>
      <c r="F37" s="334">
        <v>0</v>
      </c>
    </row>
    <row r="38" spans="1:6">
      <c r="A38" s="348" t="s">
        <v>25</v>
      </c>
      <c r="B38" s="348" t="s">
        <v>29</v>
      </c>
      <c r="C38" s="334">
        <v>3</v>
      </c>
      <c r="D38" s="334">
        <v>68277452.730000004</v>
      </c>
      <c r="E38" s="334">
        <v>4</v>
      </c>
      <c r="F38" s="334">
        <v>130628.34526</v>
      </c>
    </row>
    <row r="39" spans="1:6">
      <c r="A39" s="348" t="s">
        <v>30</v>
      </c>
      <c r="B39" s="348" t="s">
        <v>31</v>
      </c>
      <c r="C39" s="334">
        <v>5777</v>
      </c>
      <c r="D39" s="334">
        <v>99011430.881999999</v>
      </c>
      <c r="E39" s="334">
        <v>8051</v>
      </c>
      <c r="F39" s="334">
        <v>33103729.449000001</v>
      </c>
    </row>
    <row r="40" spans="1:6">
      <c r="A40" s="348" t="s">
        <v>30</v>
      </c>
      <c r="B40" s="348" t="s">
        <v>29</v>
      </c>
      <c r="C40" s="334">
        <v>1</v>
      </c>
      <c r="D40" s="334">
        <v>3193.7440956</v>
      </c>
      <c r="E40" s="334">
        <v>1</v>
      </c>
      <c r="F40" s="334">
        <v>2291.1881241000001</v>
      </c>
    </row>
    <row r="41" spans="1:6">
      <c r="A41" s="348" t="s">
        <v>32</v>
      </c>
      <c r="B41" s="348" t="s">
        <v>33</v>
      </c>
      <c r="C41" s="334">
        <v>51</v>
      </c>
      <c r="D41" s="334">
        <v>3142420.8146000002</v>
      </c>
      <c r="E41" s="334">
        <v>174</v>
      </c>
      <c r="F41" s="334">
        <v>7042701.1871999996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681417.54960000003</v>
      </c>
      <c r="E44" s="334">
        <v>14</v>
      </c>
      <c r="F44" s="334">
        <v>1236101.0497999999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2701720.8511000001</v>
      </c>
    </row>
    <row r="48" spans="1:6">
      <c r="A48" s="348" t="s">
        <v>32</v>
      </c>
      <c r="B48" s="348" t="s">
        <v>29</v>
      </c>
      <c r="C48" s="334">
        <v>87</v>
      </c>
      <c r="D48" s="334">
        <v>68042689.915000007</v>
      </c>
      <c r="E48" s="334">
        <v>113</v>
      </c>
      <c r="F48" s="334">
        <v>63247408.68</v>
      </c>
    </row>
    <row r="49" spans="1:6">
      <c r="A49" s="348" t="s">
        <v>32</v>
      </c>
      <c r="B49" s="348" t="s">
        <v>40</v>
      </c>
      <c r="C49" s="334">
        <v>0</v>
      </c>
      <c r="D49" s="334">
        <v>0</v>
      </c>
      <c r="E49" s="334">
        <v>3</v>
      </c>
      <c r="F49" s="334">
        <v>15127.959129999999</v>
      </c>
    </row>
    <row r="50" spans="1:6">
      <c r="A50" s="348" t="s">
        <v>32</v>
      </c>
      <c r="B50" s="348" t="s">
        <v>41</v>
      </c>
      <c r="C50" s="334">
        <v>7</v>
      </c>
      <c r="D50" s="334">
        <v>493366.93713999999</v>
      </c>
      <c r="E50" s="334">
        <v>14</v>
      </c>
      <c r="F50" s="334">
        <v>3496426.9112</v>
      </c>
    </row>
    <row r="51" spans="1:6">
      <c r="A51" s="348" t="s">
        <v>42</v>
      </c>
      <c r="B51" s="348" t="s">
        <v>43</v>
      </c>
      <c r="C51" s="334">
        <v>28</v>
      </c>
      <c r="D51" s="334">
        <v>230182310.28999999</v>
      </c>
      <c r="E51" s="334">
        <v>415</v>
      </c>
      <c r="F51" s="334">
        <v>20075614.471999999</v>
      </c>
    </row>
    <row r="52" spans="1:6">
      <c r="A52" s="348" t="s">
        <v>42</v>
      </c>
      <c r="B52" s="348" t="s">
        <v>29</v>
      </c>
      <c r="C52" s="334">
        <v>28</v>
      </c>
      <c r="D52" s="334">
        <v>19048159.352000002</v>
      </c>
      <c r="E52" s="334">
        <v>40</v>
      </c>
      <c r="F52" s="334">
        <v>1536825.2616999999</v>
      </c>
    </row>
    <row r="53" spans="1:6">
      <c r="A53" s="348" t="s">
        <v>44</v>
      </c>
      <c r="B53" s="348" t="s">
        <v>45</v>
      </c>
      <c r="C53" s="334">
        <v>119</v>
      </c>
      <c r="D53" s="334">
        <v>2376635.9627</v>
      </c>
      <c r="E53" s="334">
        <v>289</v>
      </c>
      <c r="F53" s="334">
        <v>1410126.6510999999</v>
      </c>
    </row>
    <row r="54" spans="1:6">
      <c r="A54" s="348" t="s">
        <v>46</v>
      </c>
      <c r="B54" s="348" t="s">
        <v>47</v>
      </c>
      <c r="C54" s="334">
        <v>0</v>
      </c>
      <c r="D54" s="334">
        <v>0</v>
      </c>
      <c r="E54" s="334">
        <v>3</v>
      </c>
      <c r="F54" s="334">
        <v>1433225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1321399.0392</v>
      </c>
      <c r="E57" s="334">
        <v>76</v>
      </c>
      <c r="F57" s="334">
        <v>2465039.2645</v>
      </c>
    </row>
    <row r="58" spans="1:6">
      <c r="A58" s="348" t="s">
        <v>49</v>
      </c>
      <c r="B58" s="348" t="s">
        <v>51</v>
      </c>
      <c r="C58" s="334">
        <v>20</v>
      </c>
      <c r="D58" s="334">
        <v>486860.48641000001</v>
      </c>
      <c r="E58" s="334">
        <v>26</v>
      </c>
      <c r="F58" s="334">
        <v>150028.41951000001</v>
      </c>
    </row>
    <row r="59" spans="1:6">
      <c r="A59" s="348" t="s">
        <v>49</v>
      </c>
      <c r="B59" s="348" t="s">
        <v>52</v>
      </c>
      <c r="C59" s="334">
        <v>62</v>
      </c>
      <c r="D59" s="334">
        <v>3374221.9764999999</v>
      </c>
      <c r="E59" s="334">
        <v>176</v>
      </c>
      <c r="F59" s="334">
        <v>7803884.5362999998</v>
      </c>
    </row>
    <row r="60" spans="1:6">
      <c r="A60" s="348" t="s">
        <v>49</v>
      </c>
      <c r="B60" s="348" t="s">
        <v>53</v>
      </c>
      <c r="C60" s="334">
        <v>75</v>
      </c>
      <c r="D60" s="334">
        <v>3776461.7283000001</v>
      </c>
      <c r="E60" s="334">
        <v>98</v>
      </c>
      <c r="F60" s="334">
        <v>2529408.4306000001</v>
      </c>
    </row>
    <row r="61" spans="1:6">
      <c r="A61" s="348" t="s">
        <v>49</v>
      </c>
      <c r="B61" s="348" t="s">
        <v>54</v>
      </c>
      <c r="C61" s="334">
        <v>167</v>
      </c>
      <c r="D61" s="334">
        <v>8974155.0899999999</v>
      </c>
      <c r="E61" s="334">
        <v>412</v>
      </c>
      <c r="F61" s="334">
        <v>11293277.238</v>
      </c>
    </row>
    <row r="62" spans="1:6">
      <c r="A62" s="348" t="s">
        <v>49</v>
      </c>
      <c r="B62" s="348" t="s">
        <v>55</v>
      </c>
      <c r="C62" s="334">
        <v>12</v>
      </c>
      <c r="D62" s="334">
        <v>3205846.0567000001</v>
      </c>
      <c r="E62" s="334">
        <v>8</v>
      </c>
      <c r="F62" s="334">
        <v>1433358.0467999999</v>
      </c>
    </row>
    <row r="63" spans="1:6">
      <c r="A63" s="348" t="s">
        <v>49</v>
      </c>
      <c r="B63" s="348" t="s">
        <v>29</v>
      </c>
      <c r="C63" s="334">
        <v>211</v>
      </c>
      <c r="D63" s="334">
        <v>43212540.071999997</v>
      </c>
      <c r="E63" s="334">
        <v>311</v>
      </c>
      <c r="F63" s="334">
        <v>23996280.767999999</v>
      </c>
    </row>
    <row r="64" spans="1:6">
      <c r="A64" s="348" t="s">
        <v>56</v>
      </c>
      <c r="B64" s="348" t="s">
        <v>57</v>
      </c>
      <c r="C64" s="334">
        <v>0</v>
      </c>
      <c r="D64" s="334">
        <v>0</v>
      </c>
      <c r="E64" s="334">
        <v>0</v>
      </c>
      <c r="F64" s="334">
        <v>0</v>
      </c>
    </row>
    <row r="65" spans="1:6">
      <c r="A65" s="348" t="s">
        <v>56</v>
      </c>
      <c r="B65" s="348" t="s">
        <v>29</v>
      </c>
      <c r="C65" s="334">
        <v>4</v>
      </c>
      <c r="D65" s="334">
        <v>136391.01173999999</v>
      </c>
      <c r="E65" s="334">
        <v>7</v>
      </c>
      <c r="F65" s="334">
        <v>103032.31496</v>
      </c>
    </row>
    <row r="66" spans="1:6">
      <c r="A66" s="348" t="s">
        <v>56</v>
      </c>
      <c r="B66" s="348" t="s">
        <v>58</v>
      </c>
      <c r="C66" s="334">
        <v>0</v>
      </c>
      <c r="D66" s="334">
        <v>0</v>
      </c>
      <c r="E66" s="334">
        <v>15</v>
      </c>
      <c r="F66" s="334">
        <v>654803.39659999998</v>
      </c>
    </row>
    <row r="67" spans="1:6">
      <c r="A67" s="355" t="s">
        <v>56</v>
      </c>
      <c r="B67" s="355" t="s">
        <v>59</v>
      </c>
      <c r="C67" s="334">
        <v>0</v>
      </c>
      <c r="D67" s="334">
        <v>0</v>
      </c>
      <c r="E67" s="334">
        <v>0</v>
      </c>
      <c r="F67" s="334">
        <v>0</v>
      </c>
    </row>
    <row r="68" spans="1:6">
      <c r="A68" s="341" t="s">
        <v>56</v>
      </c>
      <c r="B68" s="341" t="s">
        <v>60</v>
      </c>
      <c r="C68" s="334">
        <v>3</v>
      </c>
      <c r="D68" s="334">
        <v>70791.286712999994</v>
      </c>
      <c r="E68" s="334">
        <v>22</v>
      </c>
      <c r="F68" s="334">
        <v>494059.89607999998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82411004</v>
      </c>
      <c r="E73" s="476">
        <v>84302814.385844201</v>
      </c>
    </row>
    <row r="74" spans="1:6">
      <c r="A74" s="348" t="s">
        <v>64</v>
      </c>
      <c r="B74" s="348" t="s">
        <v>667</v>
      </c>
      <c r="C74" s="1212" t="s">
        <v>669</v>
      </c>
      <c r="D74" s="476">
        <v>9445830.8754600398</v>
      </c>
      <c r="E74" s="476">
        <v>9632074.2363675032</v>
      </c>
    </row>
    <row r="75" spans="1:6">
      <c r="A75" s="348" t="s">
        <v>65</v>
      </c>
      <c r="B75" s="348" t="s">
        <v>666</v>
      </c>
      <c r="C75" s="1212" t="s">
        <v>670</v>
      </c>
      <c r="D75" s="476">
        <v>39702315</v>
      </c>
      <c r="E75" s="476">
        <v>40692663.045311078</v>
      </c>
    </row>
    <row r="76" spans="1:6">
      <c r="A76" s="348" t="s">
        <v>65</v>
      </c>
      <c r="B76" s="348" t="s">
        <v>667</v>
      </c>
      <c r="C76" s="1212" t="s">
        <v>671</v>
      </c>
      <c r="D76" s="476">
        <v>537782.87546003971</v>
      </c>
      <c r="E76" s="476">
        <v>554962.5017186082</v>
      </c>
    </row>
    <row r="77" spans="1:6">
      <c r="A77" s="348" t="s">
        <v>66</v>
      </c>
      <c r="B77" s="348" t="s">
        <v>666</v>
      </c>
      <c r="C77" s="1212" t="s">
        <v>672</v>
      </c>
      <c r="D77" s="476">
        <v>140855175</v>
      </c>
      <c r="E77" s="476">
        <v>145187646.68550426</v>
      </c>
    </row>
    <row r="78" spans="1:6">
      <c r="A78" s="341" t="s">
        <v>66</v>
      </c>
      <c r="B78" s="341" t="s">
        <v>667</v>
      </c>
      <c r="C78" s="341" t="s">
        <v>673</v>
      </c>
      <c r="D78" s="1213">
        <v>38780708</v>
      </c>
      <c r="E78" s="1213">
        <v>40247926.638681263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491130.24907992058</v>
      </c>
      <c r="C83" s="476">
        <v>491130.24907992058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38096.78778172451</v>
      </c>
    </row>
    <row r="91" spans="1:6">
      <c r="A91" s="348" t="s">
        <v>68</v>
      </c>
      <c r="B91" s="334">
        <v>4806.3369921883432</v>
      </c>
    </row>
    <row r="92" spans="1:6">
      <c r="A92" s="341" t="s">
        <v>69</v>
      </c>
      <c r="B92" s="342">
        <v>4294.6542326318804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68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259</v>
      </c>
    </row>
    <row r="130" spans="1:6">
      <c r="A130" s="348" t="s">
        <v>295</v>
      </c>
      <c r="B130" s="334">
        <v>4</v>
      </c>
    </row>
    <row r="131" spans="1:6">
      <c r="A131" s="348" t="s">
        <v>296</v>
      </c>
      <c r="B131" s="334">
        <v>5</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198771.40849101826</v>
      </c>
      <c r="C3" s="43" t="s">
        <v>170</v>
      </c>
      <c r="D3" s="43"/>
      <c r="E3" s="154"/>
      <c r="F3" s="43"/>
      <c r="G3" s="43"/>
      <c r="H3" s="43"/>
      <c r="I3" s="43"/>
      <c r="J3" s="43"/>
      <c r="K3" s="96"/>
    </row>
    <row r="4" spans="1:11">
      <c r="A4" s="383" t="s">
        <v>171</v>
      </c>
      <c r="B4" s="49">
        <f>IF(ISERROR('SEAP template'!B69),0,'SEAP template'!B69)</f>
        <v>150675.72900654475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23717.613725830404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0.17279526845759136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33618.377702741032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144773.35714285716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0.23221384352901081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1433.2249999999999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1433.2249999999999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0.17279526845759136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247.65449863513135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33106.0206371241</v>
      </c>
      <c r="C5" s="17">
        <f>IF(ISERROR('Eigen informatie GS &amp; warmtenet'!B57),0,'Eigen informatie GS &amp; warmtenet'!B57)</f>
        <v>0</v>
      </c>
      <c r="D5" s="30">
        <f>(SUM(HH_hh_gas_kWh,HH_rest_gas_kWh)/1000)*0.902</f>
        <v>89311.191412738233</v>
      </c>
      <c r="E5" s="17">
        <f>B46*B57</f>
        <v>11990.940490030949</v>
      </c>
      <c r="F5" s="17">
        <f>B51*B62</f>
        <v>0</v>
      </c>
      <c r="G5" s="18"/>
      <c r="H5" s="17"/>
      <c r="I5" s="17"/>
      <c r="J5" s="17">
        <f>B50*B61+C50*C61</f>
        <v>0</v>
      </c>
      <c r="K5" s="17"/>
      <c r="L5" s="17"/>
      <c r="M5" s="17"/>
      <c r="N5" s="17">
        <f>B48*B59+C48*C59</f>
        <v>29255.355205047821</v>
      </c>
      <c r="O5" s="17">
        <f>B69*B70*B71</f>
        <v>514.3366666666667</v>
      </c>
      <c r="P5" s="17">
        <f>B77*B78*B79/1000-B77*B78*B79/1000/B80</f>
        <v>1544.4</v>
      </c>
    </row>
    <row r="6" spans="1:16">
      <c r="A6" s="16" t="s">
        <v>624</v>
      </c>
      <c r="B6" s="843">
        <f>kWh_PV_kleiner_dan_10kW</f>
        <v>4806.3369921883432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37912.357629312442</v>
      </c>
      <c r="C8" s="21">
        <f>C5</f>
        <v>0</v>
      </c>
      <c r="D8" s="21">
        <f>D5</f>
        <v>89311.191412738233</v>
      </c>
      <c r="E8" s="21">
        <f>E5</f>
        <v>11990.940490030949</v>
      </c>
      <c r="F8" s="21">
        <f>F5</f>
        <v>0</v>
      </c>
      <c r="G8" s="21"/>
      <c r="H8" s="21"/>
      <c r="I8" s="21"/>
      <c r="J8" s="21">
        <f>J5</f>
        <v>0</v>
      </c>
      <c r="K8" s="21"/>
      <c r="L8" s="21">
        <f>L5</f>
        <v>0</v>
      </c>
      <c r="M8" s="21">
        <f>M5</f>
        <v>0</v>
      </c>
      <c r="N8" s="21">
        <f>N5</f>
        <v>29255.355205047821</v>
      </c>
      <c r="O8" s="21">
        <f>O5</f>
        <v>514.3366666666667</v>
      </c>
      <c r="P8" s="21">
        <f>P5</f>
        <v>1544.4</v>
      </c>
    </row>
    <row r="9" spans="1:16">
      <c r="B9" s="19"/>
      <c r="C9" s="19"/>
      <c r="D9" s="258"/>
      <c r="E9" s="19"/>
      <c r="F9" s="19"/>
      <c r="G9" s="19"/>
      <c r="H9" s="19"/>
      <c r="I9" s="19"/>
      <c r="J9" s="19"/>
      <c r="K9" s="19"/>
      <c r="L9" s="19"/>
      <c r="M9" s="19"/>
      <c r="N9" s="19"/>
      <c r="O9" s="19"/>
      <c r="P9" s="19"/>
    </row>
    <row r="10" spans="1:16">
      <c r="A10" s="24" t="s">
        <v>214</v>
      </c>
      <c r="B10" s="25">
        <f ca="1">'EF ele_warmte'!B12</f>
        <v>0.17279526845759136</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6551.0760144172555</v>
      </c>
      <c r="C12" s="23">
        <f ca="1">C10*C8</f>
        <v>0</v>
      </c>
      <c r="D12" s="23">
        <f>D8*D10</f>
        <v>18040.860665373126</v>
      </c>
      <c r="E12" s="23">
        <f>E10*E8</f>
        <v>2721.9434912370257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8371</v>
      </c>
      <c r="C28" s="36"/>
      <c r="D28" s="228"/>
    </row>
    <row r="29" spans="1:7" s="15" customFormat="1">
      <c r="A29" s="230" t="s">
        <v>699</v>
      </c>
      <c r="B29" s="37">
        <f>SUM(HH_hh_gas_aantal,HH_rest_gas_aantal)</f>
        <v>5778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5778</v>
      </c>
      <c r="C32" s="167">
        <f>IF(ISERROR(B32/SUM($B$32,$B$34,$B$35,$B$36,$B$38,$B$39)*100),0,B32/SUM($B$32,$B$34,$B$35,$B$36,$B$38,$B$39)*100)</f>
        <v>69.698431845597113</v>
      </c>
      <c r="D32" s="233"/>
      <c r="G32" s="15"/>
    </row>
    <row r="33" spans="1:7">
      <c r="A33" s="171" t="s">
        <v>72</v>
      </c>
      <c r="B33" s="34" t="s">
        <v>111</v>
      </c>
      <c r="C33" s="167"/>
      <c r="D33" s="233"/>
      <c r="G33" s="15"/>
    </row>
    <row r="34" spans="1:7">
      <c r="A34" s="171" t="s">
        <v>73</v>
      </c>
      <c r="B34" s="33">
        <f>IF((($B$28-$B$32-$B$39-$B$77-$B$38)*C20/100)&lt;0,0,($B$28-$B$32-$B$39-$B$77-$B$38)*C20/100)</f>
        <v>530.1529745042493</v>
      </c>
      <c r="C34" s="167">
        <f>IF(ISERROR(B34/SUM($B$32,$B$34,$B$35,$B$36,$B$38,$B$39)*100),0,B34/SUM($B$32,$B$34,$B$35,$B$36,$B$38,$B$39)*100)</f>
        <v>6.3950901628980619</v>
      </c>
      <c r="D34" s="233"/>
      <c r="G34" s="15"/>
    </row>
    <row r="35" spans="1:7">
      <c r="A35" s="171" t="s">
        <v>74</v>
      </c>
      <c r="B35" s="33">
        <f>IF((($B$28-$B$32-$B$39-$B$77-$B$38)*C21/100)&lt;0,0,($B$28-$B$32-$B$39-$B$77-$B$38)*C21/100)</f>
        <v>1526.413597733711</v>
      </c>
      <c r="C35" s="167">
        <f>IF(ISERROR(B35/SUM($B$32,$B$34,$B$35,$B$36,$B$38,$B$39)*100),0,B35/SUM($B$32,$B$34,$B$35,$B$36,$B$38,$B$39)*100)</f>
        <v>18.412709260961531</v>
      </c>
      <c r="D35" s="233"/>
      <c r="G35" s="15"/>
    </row>
    <row r="36" spans="1:7">
      <c r="A36" s="171" t="s">
        <v>75</v>
      </c>
      <c r="B36" s="33">
        <f>IF((($B$28-$B$32-$B$39-$B$77-$B$38)*C22/100)&lt;0,0,($B$28-$B$32-$B$39-$B$77-$B$38)*C22/100)</f>
        <v>455.43342776203963</v>
      </c>
      <c r="C36" s="167">
        <f>IF(ISERROR(B36/SUM($B$32,$B$34,$B$35,$B$36,$B$38,$B$39)*100),0,B36/SUM($B$32,$B$34,$B$35,$B$36,$B$38,$B$39)*100)</f>
        <v>5.4937687305433007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5778</v>
      </c>
      <c r="C44" s="34" t="s">
        <v>111</v>
      </c>
      <c r="D44" s="174"/>
    </row>
    <row r="45" spans="1:7">
      <c r="A45" s="171" t="s">
        <v>72</v>
      </c>
      <c r="B45" s="33" t="str">
        <f t="shared" si="0"/>
        <v>-</v>
      </c>
      <c r="C45" s="34" t="s">
        <v>111</v>
      </c>
      <c r="D45" s="174"/>
    </row>
    <row r="46" spans="1:7">
      <c r="A46" s="171" t="s">
        <v>73</v>
      </c>
      <c r="B46" s="33">
        <f t="shared" si="0"/>
        <v>530.1529745042493</v>
      </c>
      <c r="C46" s="34" t="s">
        <v>111</v>
      </c>
      <c r="D46" s="174"/>
    </row>
    <row r="47" spans="1:7">
      <c r="A47" s="171" t="s">
        <v>74</v>
      </c>
      <c r="B47" s="33">
        <f t="shared" si="0"/>
        <v>1526.413597733711</v>
      </c>
      <c r="C47" s="34" t="s">
        <v>111</v>
      </c>
      <c r="D47" s="174"/>
    </row>
    <row r="48" spans="1:7">
      <c r="A48" s="171" t="s">
        <v>75</v>
      </c>
      <c r="B48" s="33">
        <f t="shared" si="0"/>
        <v>455.43342776203963</v>
      </c>
      <c r="C48" s="33">
        <f>B48*10</f>
        <v>4554.3342776203963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49671.276703709998</v>
      </c>
      <c r="C5" s="17">
        <f>IF(ISERROR('Eigen informatie GS &amp; warmtenet'!B58),0,'Eigen informatie GS &amp; warmtenet'!B58)</f>
        <v>0</v>
      </c>
      <c r="D5" s="30">
        <f>SUM(D6:D12)</f>
        <v>58045.038973097224</v>
      </c>
      <c r="E5" s="17">
        <f>SUM(E6:E12)</f>
        <v>906.59457038185508</v>
      </c>
      <c r="F5" s="17">
        <f>SUM(F6:F12)</f>
        <v>12917.243459659629</v>
      </c>
      <c r="G5" s="18"/>
      <c r="H5" s="17"/>
      <c r="I5" s="17"/>
      <c r="J5" s="17">
        <f>SUM(J6:J12)</f>
        <v>0</v>
      </c>
      <c r="K5" s="17"/>
      <c r="L5" s="17"/>
      <c r="M5" s="17"/>
      <c r="N5" s="17">
        <f>SUM(N6:N12)</f>
        <v>4085.7300045729799</v>
      </c>
      <c r="O5" s="17">
        <f>B38*B39*B40</f>
        <v>6.2533333333333339</v>
      </c>
      <c r="P5" s="17">
        <f>B46*B47*B48/1000-B46*B47*B48/1000/B49</f>
        <v>95.333333333333343</v>
      </c>
      <c r="R5" s="32"/>
    </row>
    <row r="6" spans="1:18">
      <c r="A6" s="32" t="s">
        <v>54</v>
      </c>
      <c r="B6" s="37">
        <f>B26</f>
        <v>11293.277238000001</v>
      </c>
      <c r="C6" s="33"/>
      <c r="D6" s="37">
        <f>IF(ISERROR(TER_kantoor_gas_kWh/1000),0,TER_kantoor_gas_kWh/1000)*0.902</f>
        <v>8094.6878911800004</v>
      </c>
      <c r="E6" s="33">
        <f>$C$26*'E Balans VL '!I12/100/3.6*1000000</f>
        <v>147.84291034578271</v>
      </c>
      <c r="F6" s="33">
        <f>$C$26*('E Balans VL '!L12+'E Balans VL '!N12)/100/3.6*1000000</f>
        <v>2879.668995322354</v>
      </c>
      <c r="G6" s="34"/>
      <c r="H6" s="33"/>
      <c r="I6" s="33"/>
      <c r="J6" s="33">
        <f>$C$26*('E Balans VL '!D12+'E Balans VL '!E12)/100/3.6*1000000</f>
        <v>0</v>
      </c>
      <c r="K6" s="33"/>
      <c r="L6" s="33"/>
      <c r="M6" s="33"/>
      <c r="N6" s="33">
        <f>$C$26*'E Balans VL '!Y12/100/3.6*1000000</f>
        <v>11.331306744199313</v>
      </c>
      <c r="O6" s="33"/>
      <c r="P6" s="33"/>
      <c r="R6" s="32"/>
    </row>
    <row r="7" spans="1:18">
      <c r="A7" s="32" t="s">
        <v>53</v>
      </c>
      <c r="B7" s="37">
        <f t="shared" ref="B7:B12" si="0">B27</f>
        <v>2529.4084306</v>
      </c>
      <c r="C7" s="33"/>
      <c r="D7" s="37">
        <f>IF(ISERROR(TER_horeca_gas_kWh/1000),0,TER_horeca_gas_kWh/1000)*0.902</f>
        <v>3406.3684789266003</v>
      </c>
      <c r="E7" s="33">
        <f>$C$27*'E Balans VL '!I9/100/3.6*1000000</f>
        <v>83.708033177510302</v>
      </c>
      <c r="F7" s="33">
        <f>$C$27*('E Balans VL '!L9+'E Balans VL '!N9)/100/3.6*1000000</f>
        <v>1087.6359312906925</v>
      </c>
      <c r="G7" s="34"/>
      <c r="H7" s="33"/>
      <c r="I7" s="33"/>
      <c r="J7" s="33">
        <f>$C$27*('E Balans VL '!D9+'E Balans VL '!E9)/100/3.6*1000000</f>
        <v>0</v>
      </c>
      <c r="K7" s="33"/>
      <c r="L7" s="33"/>
      <c r="M7" s="33"/>
      <c r="N7" s="33">
        <f>$C$27*'E Balans VL '!Y9/100/3.6*1000000</f>
        <v>0.60886534028672901</v>
      </c>
      <c r="O7" s="33"/>
      <c r="P7" s="33"/>
      <c r="R7" s="32"/>
    </row>
    <row r="8" spans="1:18">
      <c r="A8" s="6" t="s">
        <v>52</v>
      </c>
      <c r="B8" s="37">
        <f t="shared" si="0"/>
        <v>7803.8845363</v>
      </c>
      <c r="C8" s="33"/>
      <c r="D8" s="37">
        <f>IF(ISERROR(TER_handel_gas_kWh/1000),0,TER_handel_gas_kWh/1000)*0.902</f>
        <v>3043.548222803</v>
      </c>
      <c r="E8" s="33">
        <f>$C$28*'E Balans VL '!I13/100/3.6*1000000</f>
        <v>246.30251994626329</v>
      </c>
      <c r="F8" s="33">
        <f>$C$28*('E Balans VL '!L13+'E Balans VL '!N13)/100/3.6*1000000</f>
        <v>1530.4791754434559</v>
      </c>
      <c r="G8" s="34"/>
      <c r="H8" s="33"/>
      <c r="I8" s="33"/>
      <c r="J8" s="33">
        <f>$C$28*('E Balans VL '!D13+'E Balans VL '!E13)/100/3.6*1000000</f>
        <v>0</v>
      </c>
      <c r="K8" s="33"/>
      <c r="L8" s="33"/>
      <c r="M8" s="33"/>
      <c r="N8" s="33">
        <f>$C$28*'E Balans VL '!Y13/100/3.6*1000000</f>
        <v>9.2616958390055188</v>
      </c>
      <c r="O8" s="33"/>
      <c r="P8" s="33"/>
      <c r="R8" s="32"/>
    </row>
    <row r="9" spans="1:18">
      <c r="A9" s="32" t="s">
        <v>51</v>
      </c>
      <c r="B9" s="37">
        <f t="shared" si="0"/>
        <v>150.02841951000002</v>
      </c>
      <c r="C9" s="33"/>
      <c r="D9" s="37">
        <f>IF(ISERROR(TER_gezond_gas_kWh/1000),0,TER_gezond_gas_kWh/1000)*0.902</f>
        <v>439.14815874182005</v>
      </c>
      <c r="E9" s="33">
        <f>$C$29*'E Balans VL '!I10/100/3.6*1000000</f>
        <v>1.9208026681309442E-2</v>
      </c>
      <c r="F9" s="33">
        <f>$C$29*('E Balans VL '!L10+'E Balans VL '!N10)/100/3.6*1000000</f>
        <v>31.257208051272759</v>
      </c>
      <c r="G9" s="34"/>
      <c r="H9" s="33"/>
      <c r="I9" s="33"/>
      <c r="J9" s="33">
        <f>$C$29*('E Balans VL '!D10+'E Balans VL '!E10)/100/3.6*1000000</f>
        <v>0</v>
      </c>
      <c r="K9" s="33"/>
      <c r="L9" s="33"/>
      <c r="M9" s="33"/>
      <c r="N9" s="33">
        <f>$C$29*'E Balans VL '!Y10/100/3.6*1000000</f>
        <v>1.7621546998986144</v>
      </c>
      <c r="O9" s="33"/>
      <c r="P9" s="33"/>
      <c r="R9" s="32"/>
    </row>
    <row r="10" spans="1:18">
      <c r="A10" s="32" t="s">
        <v>50</v>
      </c>
      <c r="B10" s="37">
        <f t="shared" si="0"/>
        <v>2465.0392645000002</v>
      </c>
      <c r="C10" s="33"/>
      <c r="D10" s="37">
        <f>IF(ISERROR(TER_ander_gas_kWh/1000),0,TER_ander_gas_kWh/1000)*0.902</f>
        <v>1191.9019333584001</v>
      </c>
      <c r="E10" s="33">
        <f>$C$30*'E Balans VL '!I14/100/3.6*1000000</f>
        <v>3.7068393614001165</v>
      </c>
      <c r="F10" s="33">
        <f>$C$30*('E Balans VL '!L14+'E Balans VL '!N14)/100/3.6*1000000</f>
        <v>544.20121005435044</v>
      </c>
      <c r="G10" s="34"/>
      <c r="H10" s="33"/>
      <c r="I10" s="33"/>
      <c r="J10" s="33">
        <f>$C$30*('E Balans VL '!D14+'E Balans VL '!E14)/100/3.6*1000000</f>
        <v>0</v>
      </c>
      <c r="K10" s="33"/>
      <c r="L10" s="33"/>
      <c r="M10" s="33"/>
      <c r="N10" s="33">
        <f>$C$30*'E Balans VL '!Y14/100/3.6*1000000</f>
        <v>1942.6168313137921</v>
      </c>
      <c r="O10" s="33"/>
      <c r="P10" s="33"/>
      <c r="R10" s="32"/>
    </row>
    <row r="11" spans="1:18">
      <c r="A11" s="32" t="s">
        <v>55</v>
      </c>
      <c r="B11" s="37">
        <f t="shared" si="0"/>
        <v>1433.3580467999998</v>
      </c>
      <c r="C11" s="33"/>
      <c r="D11" s="37">
        <f>IF(ISERROR(TER_onderwijs_gas_kWh/1000),0,TER_onderwijs_gas_kWh/1000)*0.902</f>
        <v>2891.6731431434005</v>
      </c>
      <c r="E11" s="33">
        <f>$C$31*'E Balans VL '!I11/100/3.6*1000000</f>
        <v>2.5242636354039272</v>
      </c>
      <c r="F11" s="33">
        <f>$C$31*('E Balans VL '!L11+'E Balans VL '!N11)/100/3.6*1000000</f>
        <v>661.80734677851956</v>
      </c>
      <c r="G11" s="34"/>
      <c r="H11" s="33"/>
      <c r="I11" s="33"/>
      <c r="J11" s="33">
        <f>$C$31*('E Balans VL '!D11+'E Balans VL '!E11)/100/3.6*1000000</f>
        <v>0</v>
      </c>
      <c r="K11" s="33"/>
      <c r="L11" s="33"/>
      <c r="M11" s="33"/>
      <c r="N11" s="33">
        <f>$C$31*'E Balans VL '!Y11/100/3.6*1000000</f>
        <v>2.6703658627796423</v>
      </c>
      <c r="O11" s="33"/>
      <c r="P11" s="33"/>
      <c r="R11" s="32"/>
    </row>
    <row r="12" spans="1:18">
      <c r="A12" s="32" t="s">
        <v>260</v>
      </c>
      <c r="B12" s="37">
        <f t="shared" si="0"/>
        <v>23996.280768000001</v>
      </c>
      <c r="C12" s="33"/>
      <c r="D12" s="37">
        <f>IF(ISERROR(TER_rest_gas_kWh/1000),0,TER_rest_gas_kWh/1000)*0.902</f>
        <v>38977.711144943998</v>
      </c>
      <c r="E12" s="33">
        <f>$C$32*'E Balans VL '!I8/100/3.6*1000000</f>
        <v>422.49079588881335</v>
      </c>
      <c r="F12" s="33">
        <f>$C$32*('E Balans VL '!L8+'E Balans VL '!N8)/100/3.6*1000000</f>
        <v>6182.1935927189825</v>
      </c>
      <c r="G12" s="34"/>
      <c r="H12" s="33"/>
      <c r="I12" s="33"/>
      <c r="J12" s="33">
        <f>$C$32*('E Balans VL '!D8+'E Balans VL '!E8)/100/3.6*1000000</f>
        <v>0</v>
      </c>
      <c r="K12" s="33"/>
      <c r="L12" s="33"/>
      <c r="M12" s="33"/>
      <c r="N12" s="33">
        <f>$C$32*'E Balans VL '!Y8/100/3.6*1000000</f>
        <v>2117.4787847730177</v>
      </c>
      <c r="O12" s="33"/>
      <c r="P12" s="33"/>
      <c r="R12" s="32"/>
    </row>
    <row r="13" spans="1:18">
      <c r="A13" s="16" t="s">
        <v>491</v>
      </c>
      <c r="B13" s="247">
        <f ca="1">'lokale energieproductie'!N90+'lokale energieproductie'!N59</f>
        <v>10341</v>
      </c>
      <c r="C13" s="247">
        <f ca="1">'lokale energieproductie'!O90+'lokale energieproductie'!O59</f>
        <v>12857.142857142857</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60012.276703709998</v>
      </c>
      <c r="C16" s="21">
        <f t="shared" ca="1" si="1"/>
        <v>12857.142857142857</v>
      </c>
      <c r="D16" s="21">
        <f t="shared" ca="1" si="1"/>
        <v>32330.753258811506</v>
      </c>
      <c r="E16" s="21">
        <f t="shared" si="1"/>
        <v>906.59457038185508</v>
      </c>
      <c r="F16" s="21">
        <f t="shared" ca="1" si="1"/>
        <v>12917.243459659629</v>
      </c>
      <c r="G16" s="21">
        <f t="shared" si="1"/>
        <v>0</v>
      </c>
      <c r="H16" s="21">
        <f t="shared" si="1"/>
        <v>0</v>
      </c>
      <c r="I16" s="21">
        <f t="shared" si="1"/>
        <v>0</v>
      </c>
      <c r="J16" s="21">
        <f t="shared" si="1"/>
        <v>0</v>
      </c>
      <c r="K16" s="21">
        <f t="shared" si="1"/>
        <v>0</v>
      </c>
      <c r="L16" s="21">
        <f t="shared" ca="1" si="1"/>
        <v>0</v>
      </c>
      <c r="M16" s="21">
        <f t="shared" si="1"/>
        <v>0</v>
      </c>
      <c r="N16" s="21">
        <f t="shared" ca="1" si="1"/>
        <v>254.30143314440829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0.17279526845759136</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10369.837463768825</v>
      </c>
      <c r="C20" s="23">
        <f t="shared" ref="C20:P20" ca="1" si="2">C16*C18</f>
        <v>2985.6065596587105</v>
      </c>
      <c r="D20" s="23">
        <f t="shared" ca="1" si="2"/>
        <v>6530.8121582799249</v>
      </c>
      <c r="E20" s="23">
        <f t="shared" si="2"/>
        <v>205.79696747668112</v>
      </c>
      <c r="F20" s="23">
        <f t="shared" ca="1" si="2"/>
        <v>3448.9040037291211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11293.277238000001</v>
      </c>
      <c r="C26" s="39">
        <f>IF(ISERROR(B26*3.6/1000000/'E Balans VL '!Z12*100),0,B26*3.6/1000000/'E Balans VL '!Z12*100)</f>
        <v>0.24191077184341397</v>
      </c>
      <c r="D26" s="237" t="s">
        <v>660</v>
      </c>
      <c r="F26" s="6"/>
    </row>
    <row r="27" spans="1:18">
      <c r="A27" s="231" t="s">
        <v>53</v>
      </c>
      <c r="B27" s="33">
        <f>IF(ISERROR(TER_horeca_ele_kWh/1000),0,TER_horeca_ele_kWh/1000)</f>
        <v>2529.4084306</v>
      </c>
      <c r="C27" s="39">
        <f>IF(ISERROR(B27*3.6/1000000/'E Balans VL '!Z9*100),0,B27*3.6/1000000/'E Balans VL '!Z9*100)</f>
        <v>0.20297623442168794</v>
      </c>
      <c r="D27" s="237" t="s">
        <v>660</v>
      </c>
      <c r="F27" s="6"/>
    </row>
    <row r="28" spans="1:18">
      <c r="A28" s="171" t="s">
        <v>52</v>
      </c>
      <c r="B28" s="33">
        <f>IF(ISERROR(TER_handel_ele_kWh/1000),0,TER_handel_ele_kWh/1000)</f>
        <v>7803.8845363</v>
      </c>
      <c r="C28" s="39">
        <f>IF(ISERROR(B28*3.6/1000000/'E Balans VL '!Z13*100),0,B28*3.6/1000000/'E Balans VL '!Z13*100)</f>
        <v>0.23016983252453285</v>
      </c>
      <c r="D28" s="237" t="s">
        <v>660</v>
      </c>
      <c r="F28" s="6"/>
    </row>
    <row r="29" spans="1:18">
      <c r="A29" s="231" t="s">
        <v>51</v>
      </c>
      <c r="B29" s="33">
        <f>IF(ISERROR(TER_gezond_ele_kWh/1000),0,TER_gezond_ele_kWh/1000)</f>
        <v>150.02841951000002</v>
      </c>
      <c r="C29" s="39">
        <f>IF(ISERROR(B29*3.6/1000000/'E Balans VL '!Z10*100),0,B29*3.6/1000000/'E Balans VL '!Z10*100)</f>
        <v>1.6019012790901704E-2</v>
      </c>
      <c r="D29" s="237" t="s">
        <v>660</v>
      </c>
      <c r="F29" s="6"/>
    </row>
    <row r="30" spans="1:18">
      <c r="A30" s="231" t="s">
        <v>50</v>
      </c>
      <c r="B30" s="33">
        <f>IF(ISERROR(TER_ander_ele_kWh/1000),0,TER_ander_ele_kWh/1000)</f>
        <v>2465.0392645000002</v>
      </c>
      <c r="C30" s="39">
        <f>IF(ISERROR(B30*3.6/1000000/'E Balans VL '!Z14*100),0,B30*3.6/1000000/'E Balans VL '!Z14*100)</f>
        <v>0.18619409546642501</v>
      </c>
      <c r="D30" s="237" t="s">
        <v>660</v>
      </c>
      <c r="F30" s="6"/>
    </row>
    <row r="31" spans="1:18">
      <c r="A31" s="231" t="s">
        <v>55</v>
      </c>
      <c r="B31" s="33">
        <f>IF(ISERROR(TER_onderwijs_ele_kWh/1000),0,TER_onderwijs_ele_kWh/1000)</f>
        <v>1433.3580467999998</v>
      </c>
      <c r="C31" s="39">
        <f>IF(ISERROR(B31*3.6/1000000/'E Balans VL '!Z11*100),0,B31*3.6/1000000/'E Balans VL '!Z11*100)</f>
        <v>0.28944283883707345</v>
      </c>
      <c r="D31" s="237" t="s">
        <v>660</v>
      </c>
    </row>
    <row r="32" spans="1:18">
      <c r="A32" s="231" t="s">
        <v>260</v>
      </c>
      <c r="B32" s="33">
        <f>IF(ISERROR(TER_rest_ele_kWh/1000),0,TER_rest_ele_kWh/1000)</f>
        <v>23996.280768000001</v>
      </c>
      <c r="C32" s="39">
        <f>IF(ISERROR(B32*3.6/1000000/'E Balans VL '!Z8*100),0,B32*3.6/1000000/'E Balans VL '!Z8*100)</f>
        <v>0.19896258214663265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77739.486638429997</v>
      </c>
      <c r="C5" s="17">
        <f>IF(ISERROR('Eigen informatie GS &amp; warmtenet'!B59),0,'Eigen informatie GS &amp; warmtenet'!B59)</f>
        <v>0</v>
      </c>
      <c r="D5" s="30">
        <f>SUM(D6:D15)</f>
        <v>65268.625485138691</v>
      </c>
      <c r="E5" s="17">
        <f>SUM(E6:E15)</f>
        <v>5374.7487025520632</v>
      </c>
      <c r="F5" s="17">
        <f>SUM(F6:F15)</f>
        <v>21247.90585243886</v>
      </c>
      <c r="G5" s="18"/>
      <c r="H5" s="17"/>
      <c r="I5" s="17"/>
      <c r="J5" s="17">
        <f>SUM(J6:J15)</f>
        <v>693.6194431253457</v>
      </c>
      <c r="K5" s="17"/>
      <c r="L5" s="17"/>
      <c r="M5" s="17"/>
      <c r="N5" s="17">
        <f>SUM(N6:N15)</f>
        <v>21229.490852802257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1236.1010497999998</v>
      </c>
      <c r="C8" s="33"/>
      <c r="D8" s="37">
        <f>IF( ISERROR(IND_metaal_Gas_kWH/1000),0,IND_metaal_Gas_kWH/1000)*0.902</f>
        <v>614.63862973920004</v>
      </c>
      <c r="E8" s="33">
        <f>C30*'E Balans VL '!I18/100/3.6*1000000</f>
        <v>44.478655230970119</v>
      </c>
      <c r="F8" s="33">
        <f>C30*'E Balans VL '!L18/100/3.6*1000000+C30*'E Balans VL '!N18/100/3.6*1000000</f>
        <v>539.76525836276051</v>
      </c>
      <c r="G8" s="34"/>
      <c r="H8" s="33"/>
      <c r="I8" s="33"/>
      <c r="J8" s="40">
        <f>C30*'E Balans VL '!D18/100/3.6*1000000+C30*'E Balans VL '!E18/100/3.6*1000000</f>
        <v>0</v>
      </c>
      <c r="K8" s="33"/>
      <c r="L8" s="33"/>
      <c r="M8" s="33"/>
      <c r="N8" s="33">
        <f>C30*'E Balans VL '!Y18/100/3.6*1000000</f>
        <v>61.952544596304499</v>
      </c>
      <c r="O8" s="33"/>
      <c r="P8" s="33"/>
      <c r="R8" s="32"/>
    </row>
    <row r="9" spans="1:18">
      <c r="A9" s="6" t="s">
        <v>33</v>
      </c>
      <c r="B9" s="37">
        <f t="shared" si="0"/>
        <v>7042.7011871999994</v>
      </c>
      <c r="C9" s="33"/>
      <c r="D9" s="37">
        <f>IF( ISERROR(IND_andere_gas_kWh/1000),0,IND_andere_gas_kWh/1000)*0.902</f>
        <v>2834.4635747692</v>
      </c>
      <c r="E9" s="33">
        <f>C31*'E Balans VL '!I19/100/3.6*1000000</f>
        <v>1797.1379973959761</v>
      </c>
      <c r="F9" s="33">
        <f>C31*'E Balans VL '!L19/100/3.6*1000000+C31*'E Balans VL '!N19/100/3.6*1000000</f>
        <v>6063.2363721786105</v>
      </c>
      <c r="G9" s="34"/>
      <c r="H9" s="33"/>
      <c r="I9" s="33"/>
      <c r="J9" s="40">
        <f>C31*'E Balans VL '!D19/100/3.6*1000000+C31*'E Balans VL '!E19/100/3.6*1000000</f>
        <v>0</v>
      </c>
      <c r="K9" s="33"/>
      <c r="L9" s="33"/>
      <c r="M9" s="33"/>
      <c r="N9" s="33">
        <f>C31*'E Balans VL '!Y19/100/3.6*1000000</f>
        <v>2202.4938485637917</v>
      </c>
      <c r="O9" s="33"/>
      <c r="P9" s="33"/>
      <c r="R9" s="32"/>
    </row>
    <row r="10" spans="1:18">
      <c r="A10" s="6" t="s">
        <v>41</v>
      </c>
      <c r="B10" s="37">
        <f t="shared" si="0"/>
        <v>3496.4269112000002</v>
      </c>
      <c r="C10" s="33"/>
      <c r="D10" s="37">
        <f>IF( ISERROR(IND_voed_gas_kWh/1000),0,IND_voed_gas_kWh/1000)*0.902</f>
        <v>445.01697730028002</v>
      </c>
      <c r="E10" s="33">
        <f>C32*'E Balans VL '!I20/100/3.6*1000000</f>
        <v>88.88397307028589</v>
      </c>
      <c r="F10" s="33">
        <f>C32*'E Balans VL '!L20/100/3.6*1000000+C32*'E Balans VL '!N20/100/3.6*1000000</f>
        <v>791.18892411023648</v>
      </c>
      <c r="G10" s="34"/>
      <c r="H10" s="33"/>
      <c r="I10" s="33"/>
      <c r="J10" s="40">
        <f>C32*'E Balans VL '!D20/100/3.6*1000000+C32*'E Balans VL '!E20/100/3.6*1000000</f>
        <v>0</v>
      </c>
      <c r="K10" s="33"/>
      <c r="L10" s="33"/>
      <c r="M10" s="33"/>
      <c r="N10" s="33">
        <f>C32*'E Balans VL '!Y20/100/3.6*1000000</f>
        <v>1311.2548660792513</v>
      </c>
      <c r="O10" s="33"/>
      <c r="P10" s="33"/>
      <c r="R10" s="32"/>
    </row>
    <row r="11" spans="1:18">
      <c r="A11" s="6" t="s">
        <v>40</v>
      </c>
      <c r="B11" s="37">
        <f t="shared" si="0"/>
        <v>15.127959129999999</v>
      </c>
      <c r="C11" s="33"/>
      <c r="D11" s="37">
        <f>IF( ISERROR(IND_textiel_gas_kWh/1000),0,IND_textiel_gas_kWh/1000)*0.902</f>
        <v>0</v>
      </c>
      <c r="E11" s="33">
        <f>C33*'E Balans VL '!I21/100/3.6*1000000</f>
        <v>4.1530316065736726E-2</v>
      </c>
      <c r="F11" s="33">
        <f>C33*'E Balans VL '!L21/100/3.6*1000000+C33*'E Balans VL '!N21/100/3.6*1000000</f>
        <v>0.80202134674313674</v>
      </c>
      <c r="G11" s="34"/>
      <c r="H11" s="33"/>
      <c r="I11" s="33"/>
      <c r="J11" s="40">
        <f>C33*'E Balans VL '!D21/100/3.6*1000000+C33*'E Balans VL '!E21/100/3.6*1000000</f>
        <v>0</v>
      </c>
      <c r="K11" s="33"/>
      <c r="L11" s="33"/>
      <c r="M11" s="33"/>
      <c r="N11" s="33">
        <f>C33*'E Balans VL '!Y21/100/3.6*1000000</f>
        <v>3.0404694437195814E-2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2701.7208510999999</v>
      </c>
      <c r="C13" s="33"/>
      <c r="D13" s="37">
        <f>IF( ISERROR(IND_papier_gas_kWh/1000),0,IND_papier_gas_kWh/1000)*0.902</f>
        <v>0</v>
      </c>
      <c r="E13" s="33">
        <f>C35*'E Balans VL '!I23/100/3.6*1000000</f>
        <v>11.586894751726071</v>
      </c>
      <c r="F13" s="33">
        <f>C35*'E Balans VL '!L23/100/3.6*1000000+C35*'E Balans VL '!N23/100/3.6*1000000</f>
        <v>67.902630595836683</v>
      </c>
      <c r="G13" s="34"/>
      <c r="H13" s="33"/>
      <c r="I13" s="33"/>
      <c r="J13" s="40">
        <f>C35*'E Balans VL '!D23/100/3.6*1000000+C35*'E Balans VL '!E23/100/3.6*1000000</f>
        <v>180.86539265184291</v>
      </c>
      <c r="K13" s="33"/>
      <c r="L13" s="33"/>
      <c r="M13" s="33"/>
      <c r="N13" s="33">
        <f>C35*'E Balans VL '!Y23/100/3.6*1000000</f>
        <v>4917.774442733049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63247.40868</v>
      </c>
      <c r="C15" s="33"/>
      <c r="D15" s="37">
        <f>IF( ISERROR(IND_rest_gas_kWh/1000),0,IND_rest_gas_kWh/1000)*0.902</f>
        <v>61374.50630333001</v>
      </c>
      <c r="E15" s="33">
        <f>C37*'E Balans VL '!I15/100/3.6*1000000</f>
        <v>3432.6196517870394</v>
      </c>
      <c r="F15" s="33">
        <f>C37*'E Balans VL '!L15/100/3.6*1000000+C37*'E Balans VL '!N15/100/3.6*1000000</f>
        <v>13785.010645844673</v>
      </c>
      <c r="G15" s="34"/>
      <c r="H15" s="33"/>
      <c r="I15" s="33"/>
      <c r="J15" s="40">
        <f>C37*'E Balans VL '!D15/100/3.6*1000000+C37*'E Balans VL '!E15/100/3.6*1000000</f>
        <v>512.75405047350273</v>
      </c>
      <c r="K15" s="33"/>
      <c r="L15" s="33"/>
      <c r="M15" s="33"/>
      <c r="N15" s="33">
        <f>C37*'E Balans VL '!Y15/100/3.6*1000000</f>
        <v>12735.984746135426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77739.486638429997</v>
      </c>
      <c r="C18" s="21">
        <f>C5+C16</f>
        <v>0</v>
      </c>
      <c r="D18" s="21">
        <f>MAX((D5+D16),0)</f>
        <v>65268.625485138691</v>
      </c>
      <c r="E18" s="21">
        <f>MAX((E5+E16),0)</f>
        <v>5374.7487025520632</v>
      </c>
      <c r="F18" s="21">
        <f>MAX((F5+F16),0)</f>
        <v>21247.90585243886</v>
      </c>
      <c r="G18" s="21"/>
      <c r="H18" s="21"/>
      <c r="I18" s="21"/>
      <c r="J18" s="21">
        <f>MAX((J5+J16),0)</f>
        <v>693.6194431253457</v>
      </c>
      <c r="K18" s="21"/>
      <c r="L18" s="21">
        <f>MAX((L5+L16),0)</f>
        <v>0</v>
      </c>
      <c r="M18" s="21"/>
      <c r="N18" s="21">
        <f>MAX((N5+N16),0)</f>
        <v>21229.490852802257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0.17279526845759136</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13433.015463442847</v>
      </c>
      <c r="C22" s="23">
        <f ca="1">C18*C20</f>
        <v>0</v>
      </c>
      <c r="D22" s="23">
        <f>D18*D20</f>
        <v>13184.262347998016</v>
      </c>
      <c r="E22" s="23">
        <f>E18*E20</f>
        <v>1220.0679554793185</v>
      </c>
      <c r="F22" s="23">
        <f>F18*F20</f>
        <v>5673.1908626011764</v>
      </c>
      <c r="G22" s="23"/>
      <c r="H22" s="23"/>
      <c r="I22" s="23"/>
      <c r="J22" s="23">
        <f>J18*J20</f>
        <v>245.54128286637237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1236.1010497999998</v>
      </c>
      <c r="C30" s="39">
        <f>IF(ISERROR(B30*3.6/1000000/'E Balans VL '!Z18*100),0,B30*3.6/1000000/'E Balans VL '!Z18*100)</f>
        <v>0.26190331114456855</v>
      </c>
      <c r="D30" s="237" t="s">
        <v>660</v>
      </c>
    </row>
    <row r="31" spans="1:18">
      <c r="A31" s="6" t="s">
        <v>33</v>
      </c>
      <c r="B31" s="37">
        <f>IF( ISERROR(IND_ander_ele_kWh/1000),0,IND_ander_ele_kWh/1000)</f>
        <v>7042.7011871999994</v>
      </c>
      <c r="C31" s="39">
        <f>IF(ISERROR(B31*3.6/1000000/'E Balans VL '!Z19*100),0,B31*3.6/1000000/'E Balans VL '!Z19*100)</f>
        <v>0.29644328458529845</v>
      </c>
      <c r="D31" s="237" t="s">
        <v>660</v>
      </c>
    </row>
    <row r="32" spans="1:18">
      <c r="A32" s="171" t="s">
        <v>41</v>
      </c>
      <c r="B32" s="37">
        <f>IF( ISERROR(IND_voed_ele_kWh/1000),0,IND_voed_ele_kWh/1000)</f>
        <v>3496.4269112000002</v>
      </c>
      <c r="C32" s="39">
        <f>IF(ISERROR(B32*3.6/1000000/'E Balans VL '!Z20*100),0,B32*3.6/1000000/'E Balans VL '!Z20*100)</f>
        <v>0.58411767486569977</v>
      </c>
      <c r="D32" s="237" t="s">
        <v>660</v>
      </c>
    </row>
    <row r="33" spans="1:5">
      <c r="A33" s="171" t="s">
        <v>40</v>
      </c>
      <c r="B33" s="37">
        <f>IF( ISERROR(IND_textiel_ele_kWh/1000),0,IND_textiel_ele_kWh/1000)</f>
        <v>15.127959129999999</v>
      </c>
      <c r="C33" s="39">
        <f>IF(ISERROR(B33*3.6/1000000/'E Balans VL '!Z21*100),0,B33*3.6/1000000/'E Balans VL '!Z21*100)</f>
        <v>8.8321552468252184E-4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2701.7208510999999</v>
      </c>
      <c r="C35" s="39">
        <f>IF(ISERROR(B35*3.6/1000000/'E Balans VL '!Z22*100),0,B35*3.6/1000000/'E Balans VL '!Z22*100)</f>
        <v>0.34245768821444206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63247.40868</v>
      </c>
      <c r="C37" s="39">
        <f>IF(ISERROR(B37*3.6/1000000/'E Balans VL '!Z15*100),0,B37*3.6/1000000/'E Balans VL '!Z15*100)</f>
        <v>0.51062082079277304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21612.439733700001</v>
      </c>
      <c r="C5" s="17">
        <f>'Eigen informatie GS &amp; warmtenet'!B60</f>
        <v>0</v>
      </c>
      <c r="D5" s="30">
        <f>IF(ISERROR(SUM(LB_lb_gas_kWh,LB_rest_gas_kWh,onbekend_gas_kWh)/1000),0,SUM(LB_lb_gas_kWh,LB_rest_gas_kWh,onbekend_gas_kWh)/1000)*0.902</f>
        <v>226949.6092554394</v>
      </c>
      <c r="E5" s="17">
        <f>B17*'E Balans VL '!I25/3.6*1000000/100</f>
        <v>557.30183855750943</v>
      </c>
      <c r="F5" s="17">
        <f>B17*('E Balans VL '!L25/3.6*1000000+'E Balans VL '!N25/3.6*1000000)/100</f>
        <v>78997.583115882648</v>
      </c>
      <c r="G5" s="18"/>
      <c r="H5" s="17"/>
      <c r="I5" s="17"/>
      <c r="J5" s="17">
        <f>('E Balans VL '!D25+'E Balans VL '!E25)/3.6*1000000*landbouw!B17/100</f>
        <v>3111.3962722437809</v>
      </c>
      <c r="K5" s="17"/>
      <c r="L5" s="17">
        <f>L6*(-1)</f>
        <v>7020</v>
      </c>
      <c r="M5" s="17"/>
      <c r="N5" s="17">
        <f>N6*(-1)</f>
        <v>374.14285714285711</v>
      </c>
      <c r="O5" s="17"/>
      <c r="P5" s="17"/>
      <c r="R5" s="32"/>
    </row>
    <row r="6" spans="1:18">
      <c r="A6" s="16" t="s">
        <v>491</v>
      </c>
      <c r="B6" s="17" t="s">
        <v>211</v>
      </c>
      <c r="C6" s="17">
        <f>'lokale energieproductie'!O91+'lokale energieproductie'!O60</f>
        <v>131916.21428571429</v>
      </c>
      <c r="D6" s="310">
        <f>('lokale energieproductie'!P60+'lokale energieproductie'!P91)*(-1)</f>
        <v>-255034.28571428571</v>
      </c>
      <c r="E6" s="248"/>
      <c r="F6" s="310">
        <f>('lokale energieproductie'!S60+'lokale energieproductie'!S91)*(-1)</f>
        <v>-2340</v>
      </c>
      <c r="G6" s="249"/>
      <c r="H6" s="248"/>
      <c r="I6" s="248"/>
      <c r="J6" s="248"/>
      <c r="K6" s="248"/>
      <c r="L6" s="310">
        <f>('lokale energieproductie'!T60+'lokale energieproductie'!U60+'lokale energieproductie'!T91+'lokale energieproductie'!U91)*(-1)</f>
        <v>-7020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21612.439733700001</v>
      </c>
      <c r="C8" s="21">
        <f>C5+C6</f>
        <v>131916.21428571429</v>
      </c>
      <c r="D8" s="21">
        <f>MAX((D5+D6),0)</f>
        <v>0</v>
      </c>
      <c r="E8" s="21">
        <f>MAX((E5+E6),0)</f>
        <v>557.30183855750943</v>
      </c>
      <c r="F8" s="21">
        <f>MAX((F5+F6),0)</f>
        <v>76657.583115882648</v>
      </c>
      <c r="G8" s="21"/>
      <c r="H8" s="21"/>
      <c r="I8" s="21"/>
      <c r="J8" s="21">
        <f>MAX((J5+J6),0)</f>
        <v>3111.3962722437809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0.17279526845759136</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3734.5273258082061</v>
      </c>
      <c r="C12" s="23">
        <f ca="1">C8*C10</f>
        <v>30632.771143082318</v>
      </c>
      <c r="D12" s="23">
        <f>D8*D10</f>
        <v>0</v>
      </c>
      <c r="E12" s="23">
        <f>E8*E10</f>
        <v>126.50751735255464</v>
      </c>
      <c r="F12" s="23">
        <f>F8*F10</f>
        <v>20467.574691940667</v>
      </c>
      <c r="G12" s="23"/>
      <c r="H12" s="23"/>
      <c r="I12" s="23"/>
      <c r="J12" s="23">
        <f>J8*J10</f>
        <v>1101.4342803742984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3.0474971600424912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1822.9492691518144</v>
      </c>
      <c r="C26" s="247">
        <f>B26*'GWP N2O_CH4'!B5</f>
        <v>38281.934652188102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1402.997443654102</v>
      </c>
      <c r="C27" s="247">
        <f>B27*'GWP N2O_CH4'!B5</f>
        <v>29462.946316736143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25.99954951580084</v>
      </c>
      <c r="C28" s="247">
        <f>B28*'GWP N2O_CH4'!B4</f>
        <v>8059.8603498982602</v>
      </c>
      <c r="D28" s="50"/>
    </row>
    <row r="29" spans="1:4">
      <c r="A29" s="41" t="s">
        <v>277</v>
      </c>
      <c r="B29" s="247">
        <f>B34*'ha_N2O bodem landbouw'!B4</f>
        <v>41.924117459815065</v>
      </c>
      <c r="C29" s="247">
        <f>B29*'GWP N2O_CH4'!B4</f>
        <v>12996.47641254267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9.4352046512732792E-3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2.218420291169836E-4</v>
      </c>
      <c r="C5" s="463" t="s">
        <v>211</v>
      </c>
      <c r="D5" s="448">
        <f>SUM(D6:D11)</f>
        <v>5.031509127895171E-4</v>
      </c>
      <c r="E5" s="448">
        <f>SUM(E6:E11)</f>
        <v>2.1845696004754648E-3</v>
      </c>
      <c r="F5" s="461" t="s">
        <v>211</v>
      </c>
      <c r="G5" s="448">
        <f>SUM(G6:G11)</f>
        <v>0.93468525909831979</v>
      </c>
      <c r="H5" s="448">
        <f>SUM(H6:H11)</f>
        <v>0.1382064513708024</v>
      </c>
      <c r="I5" s="463" t="s">
        <v>211</v>
      </c>
      <c r="J5" s="463" t="s">
        <v>211</v>
      </c>
      <c r="K5" s="463" t="s">
        <v>211</v>
      </c>
      <c r="L5" s="463" t="s">
        <v>211</v>
      </c>
      <c r="M5" s="448">
        <f>SUM(M6:M11)</f>
        <v>3.3586703415150354E-2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6.9522489446693383E-5</v>
      </c>
      <c r="C6" s="449"/>
      <c r="D6" s="962">
        <f>vkm_2011_GW_PW*SUMIFS(TableVerdeelsleutelVkm[CNG],TableVerdeelsleutelVkm[Voertuigtype],"Lichte voertuigen")*SUMIFS(TableECFTransport[EnergieConsumptieFactor (PJ per km)],TableECFTransport[Index],CONCATENATE($A6,"_CNG_CNG"))</f>
        <v>1.3814240432366199E-4</v>
      </c>
      <c r="E6" s="962">
        <f>vkm_2011_GW_PW*SUMIFS(TableVerdeelsleutelVkm[LPG],TableVerdeelsleutelVkm[Voertuigtype],"Lichte voertuigen")*SUMIFS(TableECFTransport[EnergieConsumptieFactor (PJ per km)],TableECFTransport[Index],CONCATENATE($A6,"_LPG_LPG"))</f>
        <v>5.4363988135329412E-4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0.12925891041377432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3.7399304772770689E-2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5.193223879658755E-3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9.0511818744093323E-2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2.9239183531616478E-5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2.8518889186588433E-3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3.349314583762135E-5</v>
      </c>
      <c r="C8" s="449"/>
      <c r="D8" s="451">
        <f>vkm_2011_NGW_PW*SUMIFS(TableVerdeelsleutelVkm[CNG],TableVerdeelsleutelVkm[Voertuigtype],"Lichte voertuigen")*SUMIFS(TableECFTransport[EnergieConsumptieFactor (PJ per km)],TableECFTransport[Index],CONCATENATE($A8,"_CNG_CNG"))</f>
        <v>1.1783837154718955E-4</v>
      </c>
      <c r="E8" s="451">
        <f>vkm_2011_NGW_PW*SUMIFS(TableVerdeelsleutelVkm[LPG],TableVerdeelsleutelVkm[Voertuigtype],"Lichte voertuigen")*SUMIFS(TableECFTransport[EnergieConsumptieFactor (PJ per km)],TableECFTransport[Index],CONCATENATE($A8,"_LPG_LPG"))</f>
        <v>4.2887409052443776E-4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9.522210418604489E-2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3.0934298077426699E-2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3.9271995749655441E-3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6.5774840248486255E-3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2.0094771407712536E-6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2.0724299841898478E-4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1.1882639383266886E-4</v>
      </c>
      <c r="C10" s="449"/>
      <c r="D10" s="451">
        <f>vkm_2011_SW_PW*SUMIFS(TableVerdeelsleutelVkm[CNG],TableVerdeelsleutelVkm[Voertuigtype],"Lichte voertuigen")*SUMIFS(TableECFTransport[EnergieConsumptieFactor (PJ per km)],TableECFTransport[Index],CONCATENATE($A10,"_CNG_CNG"))</f>
        <v>2.4717013691866549E-4</v>
      </c>
      <c r="E10" s="451">
        <f>vkm_2011_SW_PW*SUMIFS(TableVerdeelsleutelVkm[LPG],TableVerdeelsleutelVkm[Voertuigtype],"Lichte voertuigen")*SUMIFS(TableECFTransport[EnergieConsumptieFactor (PJ per km)],TableECFTransport[Index],CONCATENATE($A10,"_LPG_LPG"))</f>
        <v>1.212055628597733E-3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0.25815393252463664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6.9718052667070207E-2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1.0222603432140855E-2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0.35496100920492191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1.2354719286242701E-4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1.1184544611307372E-2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61.622785865828781</v>
      </c>
      <c r="C14" s="21"/>
      <c r="D14" s="21">
        <f t="shared" ref="D14:M14" si="0">((D5)*10^9/3600)+D12</f>
        <v>139.76414244153253</v>
      </c>
      <c r="E14" s="21">
        <f t="shared" si="0"/>
        <v>606.82488902096247</v>
      </c>
      <c r="F14" s="21"/>
      <c r="G14" s="21">
        <f t="shared" si="0"/>
        <v>259634.79419397772</v>
      </c>
      <c r="H14" s="21">
        <f t="shared" si="0"/>
        <v>38390.680936334</v>
      </c>
      <c r="I14" s="21"/>
      <c r="J14" s="21"/>
      <c r="K14" s="21"/>
      <c r="L14" s="21"/>
      <c r="M14" s="21">
        <f t="shared" si="0"/>
        <v>9329.6398375417648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0.17279526845759136</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10.648125826790551</v>
      </c>
      <c r="C18" s="23"/>
      <c r="D18" s="23">
        <f t="shared" ref="D18:M18" si="1">D14*D16</f>
        <v>28.232356773189572</v>
      </c>
      <c r="E18" s="23">
        <f t="shared" si="1"/>
        <v>137.74924980775847</v>
      </c>
      <c r="F18" s="23"/>
      <c r="G18" s="23">
        <f t="shared" si="1"/>
        <v>69322.490049792061</v>
      </c>
      <c r="H18" s="23">
        <f t="shared" si="1"/>
        <v>9559.2795531471656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6.3848260836000276E-3</v>
      </c>
      <c r="H50" s="321">
        <f t="shared" si="2"/>
        <v>0</v>
      </c>
      <c r="I50" s="321">
        <f t="shared" si="2"/>
        <v>0</v>
      </c>
      <c r="J50" s="321">
        <f t="shared" si="2"/>
        <v>0</v>
      </c>
      <c r="K50" s="321">
        <f t="shared" si="2"/>
        <v>0</v>
      </c>
      <c r="L50" s="321">
        <f t="shared" si="2"/>
        <v>0</v>
      </c>
      <c r="M50" s="321">
        <f t="shared" si="2"/>
        <v>1.980430210947228E-4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6.3848260836000276E-3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1.980430210947228E-4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1773.5628010000075</v>
      </c>
      <c r="H54" s="21">
        <f t="shared" si="3"/>
        <v>0</v>
      </c>
      <c r="I54" s="21">
        <f t="shared" si="3"/>
        <v>0</v>
      </c>
      <c r="J54" s="21">
        <f t="shared" si="3"/>
        <v>0</v>
      </c>
      <c r="K54" s="21">
        <f t="shared" si="3"/>
        <v>0</v>
      </c>
      <c r="L54" s="21">
        <f t="shared" si="3"/>
        <v>0</v>
      </c>
      <c r="M54" s="21">
        <f t="shared" si="3"/>
        <v>55.011950304089666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0.17279526845759136</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473.54126786700203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38096.78778172451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9100.9912248202236</v>
      </c>
      <c r="C6" s="1203"/>
      <c r="D6" s="1188"/>
      <c r="E6" s="1188"/>
      <c r="F6" s="1206"/>
      <c r="G6" s="1209"/>
      <c r="H6" s="1200"/>
      <c r="I6" s="1188"/>
      <c r="J6" s="1188"/>
      <c r="K6" s="1188"/>
      <c r="L6" s="1192"/>
      <c r="M6" s="575"/>
      <c r="N6" s="1166"/>
      <c r="O6" s="1167"/>
      <c r="Q6" s="573"/>
      <c r="R6" s="1154"/>
      <c r="S6" s="1154"/>
    </row>
    <row r="7" spans="1:19" s="563" customFormat="1">
      <c r="A7" s="576" t="s">
        <v>252</v>
      </c>
      <c r="B7" s="577">
        <f>N57</f>
        <v>102136.95</v>
      </c>
      <c r="C7" s="578">
        <f>B100</f>
        <v>116134.49083752015</v>
      </c>
      <c r="D7" s="579"/>
      <c r="E7" s="579">
        <f>E100</f>
        <v>967.96470655929033</v>
      </c>
      <c r="F7" s="580"/>
      <c r="G7" s="581"/>
      <c r="H7" s="579">
        <f>I100</f>
        <v>0</v>
      </c>
      <c r="I7" s="579">
        <f>G100+F100</f>
        <v>2903.894119677871</v>
      </c>
      <c r="J7" s="579">
        <f>H100+D100+C100</f>
        <v>154.76798330151288</v>
      </c>
      <c r="K7" s="579"/>
      <c r="L7" s="582"/>
      <c r="M7" s="583">
        <f>C7*$C$11+D7*$D$11+E7*$E$11+F7*$F$11+G7*$G$11+H7*$H$11+I7*$I$11+J7*$J$11</f>
        <v>23717.613725830404</v>
      </c>
      <c r="N7" s="1166"/>
      <c r="O7" s="1167"/>
      <c r="Q7" s="573"/>
      <c r="R7" s="1154"/>
      <c r="S7" s="1154"/>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150675.72900654475</v>
      </c>
      <c r="C9" s="594">
        <f t="shared" ref="C9:L9" si="0">SUM(C7:C8)</f>
        <v>116134.49083752015</v>
      </c>
      <c r="D9" s="594">
        <f t="shared" si="0"/>
        <v>0</v>
      </c>
      <c r="E9" s="594">
        <f t="shared" si="0"/>
        <v>967.96470655929033</v>
      </c>
      <c r="F9" s="594">
        <f t="shared" si="0"/>
        <v>0</v>
      </c>
      <c r="G9" s="594">
        <f t="shared" si="0"/>
        <v>0</v>
      </c>
      <c r="H9" s="594">
        <f t="shared" si="0"/>
        <v>0</v>
      </c>
      <c r="I9" s="594">
        <f t="shared" si="0"/>
        <v>2903.894119677871</v>
      </c>
      <c r="J9" s="594">
        <f t="shared" si="0"/>
        <v>3986.1965547300842</v>
      </c>
      <c r="K9" s="594">
        <f t="shared" si="0"/>
        <v>0</v>
      </c>
      <c r="L9" s="594">
        <f t="shared" si="0"/>
        <v>0</v>
      </c>
      <c r="M9" s="595">
        <f>SUM(M4:M8)</f>
        <v>23717.613725830404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144773.35714285716</v>
      </c>
      <c r="C16" s="610">
        <f>B101</f>
        <v>164614.08059105129</v>
      </c>
      <c r="D16" s="611"/>
      <c r="E16" s="611">
        <f>E101</f>
        <v>1372.0352934407094</v>
      </c>
      <c r="F16" s="612"/>
      <c r="G16" s="613"/>
      <c r="H16" s="610">
        <f>I101</f>
        <v>0</v>
      </c>
      <c r="I16" s="611">
        <f>G101+F101</f>
        <v>4116.1058803221285</v>
      </c>
      <c r="J16" s="611">
        <f>H101+D101+C101</f>
        <v>219.37487384134417</v>
      </c>
      <c r="K16" s="611"/>
      <c r="L16" s="614"/>
      <c r="M16" s="615">
        <f>C16*$C$21+E16*$E$21+H16*$H$21+I16*$I$21+J16*$J$21+D16*$D$21+F16*$F$21+G16*$G$21+K16*$K$21+L16*$L$21</f>
        <v>33618.377702741032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144773.35714285716</v>
      </c>
      <c r="C19" s="593">
        <f>SUM(C16:C18)</f>
        <v>164614.08059105129</v>
      </c>
      <c r="D19" s="593">
        <f t="shared" ref="D19:M19" si="1">SUM(D16:D18)</f>
        <v>0</v>
      </c>
      <c r="E19" s="593">
        <f t="shared" si="1"/>
        <v>1372.0352934407094</v>
      </c>
      <c r="F19" s="593">
        <f t="shared" si="1"/>
        <v>0</v>
      </c>
      <c r="G19" s="593">
        <f t="shared" si="1"/>
        <v>0</v>
      </c>
      <c r="H19" s="593">
        <f t="shared" si="1"/>
        <v>0</v>
      </c>
      <c r="I19" s="593">
        <f t="shared" si="1"/>
        <v>4116.1058803221285</v>
      </c>
      <c r="J19" s="593">
        <f t="shared" si="1"/>
        <v>219.37487384134417</v>
      </c>
      <c r="K19" s="593">
        <f t="shared" si="1"/>
        <v>0</v>
      </c>
      <c r="L19" s="593">
        <f t="shared" si="1"/>
        <v>0</v>
      </c>
      <c r="M19" s="620">
        <f t="shared" si="1"/>
        <v>33618.377702741032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13014</v>
      </c>
      <c r="C27" s="851">
        <v>2321</v>
      </c>
      <c r="D27" s="672" t="s">
        <v>818</v>
      </c>
      <c r="E27" s="671" t="s">
        <v>819</v>
      </c>
      <c r="F27" s="671" t="s">
        <v>820</v>
      </c>
      <c r="G27" s="671" t="s">
        <v>821</v>
      </c>
      <c r="H27" s="671" t="s">
        <v>822</v>
      </c>
      <c r="I27" s="671" t="s">
        <v>819</v>
      </c>
      <c r="J27" s="850">
        <v>40136</v>
      </c>
      <c r="K27" s="850">
        <v>39538</v>
      </c>
      <c r="L27" s="671" t="s">
        <v>823</v>
      </c>
      <c r="M27" s="671">
        <v>5774</v>
      </c>
      <c r="N27" s="671">
        <v>25983</v>
      </c>
      <c r="O27" s="671">
        <v>37118.571428571428</v>
      </c>
      <c r="P27" s="671">
        <v>74237.142857142855</v>
      </c>
      <c r="Q27" s="671">
        <v>0</v>
      </c>
      <c r="R27" s="671">
        <v>0</v>
      </c>
      <c r="S27" s="671">
        <v>0</v>
      </c>
      <c r="T27" s="671">
        <v>0</v>
      </c>
      <c r="U27" s="671">
        <v>0</v>
      </c>
      <c r="V27" s="671">
        <v>0</v>
      </c>
      <c r="W27" s="671">
        <v>0</v>
      </c>
      <c r="X27" s="671">
        <v>10</v>
      </c>
      <c r="Y27" s="671" t="s">
        <v>112</v>
      </c>
      <c r="Z27" s="673" t="s">
        <v>112</v>
      </c>
    </row>
    <row r="28" spans="1:26" s="625" customFormat="1" ht="63.75">
      <c r="A28" s="624"/>
      <c r="B28" s="851">
        <v>13014</v>
      </c>
      <c r="C28" s="851">
        <v>2321</v>
      </c>
      <c r="D28" s="672" t="s">
        <v>824</v>
      </c>
      <c r="E28" s="671" t="s">
        <v>825</v>
      </c>
      <c r="F28" s="671" t="s">
        <v>826</v>
      </c>
      <c r="G28" s="671" t="s">
        <v>821</v>
      </c>
      <c r="H28" s="671" t="s">
        <v>822</v>
      </c>
      <c r="I28" s="671" t="s">
        <v>825</v>
      </c>
      <c r="J28" s="850">
        <v>39562</v>
      </c>
      <c r="K28" s="850">
        <v>39562</v>
      </c>
      <c r="L28" s="671" t="s">
        <v>823</v>
      </c>
      <c r="M28" s="671">
        <v>2000</v>
      </c>
      <c r="N28" s="671">
        <v>9000</v>
      </c>
      <c r="O28" s="671">
        <v>12857.142857142857</v>
      </c>
      <c r="P28" s="671">
        <v>25714.285714285717</v>
      </c>
      <c r="Q28" s="671">
        <v>0</v>
      </c>
      <c r="R28" s="671">
        <v>0</v>
      </c>
      <c r="S28" s="671">
        <v>0</v>
      </c>
      <c r="T28" s="671">
        <v>0</v>
      </c>
      <c r="U28" s="671">
        <v>0</v>
      </c>
      <c r="V28" s="671">
        <v>0</v>
      </c>
      <c r="W28" s="671">
        <v>0</v>
      </c>
      <c r="X28" s="671">
        <v>1600</v>
      </c>
      <c r="Y28" s="671" t="s">
        <v>50</v>
      </c>
      <c r="Z28" s="673" t="s">
        <v>156</v>
      </c>
    </row>
    <row r="29" spans="1:26" s="625" customFormat="1" ht="25.5">
      <c r="A29" s="624"/>
      <c r="B29" s="851">
        <v>13014</v>
      </c>
      <c r="C29" s="851">
        <v>2321</v>
      </c>
      <c r="D29" s="672" t="s">
        <v>827</v>
      </c>
      <c r="E29" s="671" t="s">
        <v>828</v>
      </c>
      <c r="F29" s="671" t="s">
        <v>829</v>
      </c>
      <c r="G29" s="671" t="s">
        <v>821</v>
      </c>
      <c r="H29" s="671" t="s">
        <v>822</v>
      </c>
      <c r="I29" s="671" t="s">
        <v>828</v>
      </c>
      <c r="J29" s="850">
        <v>39660</v>
      </c>
      <c r="K29" s="850">
        <v>39661</v>
      </c>
      <c r="L29" s="671" t="s">
        <v>823</v>
      </c>
      <c r="M29" s="671">
        <v>2028</v>
      </c>
      <c r="N29" s="671">
        <v>9126</v>
      </c>
      <c r="O29" s="671">
        <v>13037.142857142857</v>
      </c>
      <c r="P29" s="671">
        <v>26074.285714285717</v>
      </c>
      <c r="Q29" s="671">
        <v>0</v>
      </c>
      <c r="R29" s="671">
        <v>0</v>
      </c>
      <c r="S29" s="671">
        <v>0</v>
      </c>
      <c r="T29" s="671">
        <v>0</v>
      </c>
      <c r="U29" s="671">
        <v>0</v>
      </c>
      <c r="V29" s="671">
        <v>0</v>
      </c>
      <c r="W29" s="671">
        <v>0</v>
      </c>
      <c r="X29" s="671">
        <v>10</v>
      </c>
      <c r="Y29" s="671" t="s">
        <v>112</v>
      </c>
      <c r="Z29" s="673" t="s">
        <v>112</v>
      </c>
    </row>
    <row r="30" spans="1:26" s="625" customFormat="1" ht="25.5">
      <c r="A30" s="624"/>
      <c r="B30" s="851">
        <v>13014</v>
      </c>
      <c r="C30" s="851">
        <v>2321</v>
      </c>
      <c r="D30" s="672" t="s">
        <v>830</v>
      </c>
      <c r="E30" s="671" t="s">
        <v>831</v>
      </c>
      <c r="F30" s="671" t="s">
        <v>832</v>
      </c>
      <c r="G30" s="671" t="s">
        <v>821</v>
      </c>
      <c r="H30" s="671" t="s">
        <v>822</v>
      </c>
      <c r="I30" s="671" t="s">
        <v>831</v>
      </c>
      <c r="J30" s="850">
        <v>39792</v>
      </c>
      <c r="K30" s="850">
        <v>39792</v>
      </c>
      <c r="L30" s="671" t="s">
        <v>823</v>
      </c>
      <c r="M30" s="671">
        <v>1556</v>
      </c>
      <c r="N30" s="671">
        <v>7002</v>
      </c>
      <c r="O30" s="671">
        <v>10002.857142857143</v>
      </c>
      <c r="P30" s="671">
        <v>20005.714285714286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13014</v>
      </c>
      <c r="C31" s="851">
        <v>2321</v>
      </c>
      <c r="D31" s="672" t="s">
        <v>833</v>
      </c>
      <c r="E31" s="671" t="s">
        <v>834</v>
      </c>
      <c r="F31" s="671" t="s">
        <v>835</v>
      </c>
      <c r="G31" s="671" t="s">
        <v>821</v>
      </c>
      <c r="H31" s="671" t="s">
        <v>822</v>
      </c>
      <c r="I31" s="671" t="s">
        <v>834</v>
      </c>
      <c r="J31" s="850">
        <v>39895</v>
      </c>
      <c r="K31" s="850">
        <v>39895</v>
      </c>
      <c r="L31" s="671" t="s">
        <v>823</v>
      </c>
      <c r="M31" s="671">
        <v>1998</v>
      </c>
      <c r="N31" s="671">
        <v>8991</v>
      </c>
      <c r="O31" s="671">
        <v>12844.285714285714</v>
      </c>
      <c r="P31" s="671">
        <v>25688.571428571431</v>
      </c>
      <c r="Q31" s="671">
        <v>0</v>
      </c>
      <c r="R31" s="671">
        <v>0</v>
      </c>
      <c r="S31" s="671">
        <v>0</v>
      </c>
      <c r="T31" s="671">
        <v>0</v>
      </c>
      <c r="U31" s="671">
        <v>0</v>
      </c>
      <c r="V31" s="671">
        <v>0</v>
      </c>
      <c r="W31" s="671">
        <v>0</v>
      </c>
      <c r="X31" s="671">
        <v>10</v>
      </c>
      <c r="Y31" s="671" t="s">
        <v>112</v>
      </c>
      <c r="Z31" s="673" t="s">
        <v>112</v>
      </c>
    </row>
    <row r="32" spans="1:26" s="625" customFormat="1" ht="25.5">
      <c r="A32" s="624"/>
      <c r="B32" s="851">
        <v>13014</v>
      </c>
      <c r="C32" s="851">
        <v>2320</v>
      </c>
      <c r="D32" s="672" t="s">
        <v>836</v>
      </c>
      <c r="E32" s="671" t="s">
        <v>837</v>
      </c>
      <c r="F32" s="671" t="s">
        <v>838</v>
      </c>
      <c r="G32" s="671" t="s">
        <v>821</v>
      </c>
      <c r="H32" s="671" t="s">
        <v>822</v>
      </c>
      <c r="I32" s="671" t="s">
        <v>837</v>
      </c>
      <c r="J32" s="850">
        <v>40185</v>
      </c>
      <c r="K32" s="850">
        <v>40238</v>
      </c>
      <c r="L32" s="671" t="s">
        <v>823</v>
      </c>
      <c r="M32" s="671">
        <v>122</v>
      </c>
      <c r="N32" s="671">
        <v>549</v>
      </c>
      <c r="O32" s="671">
        <v>784.28571428571433</v>
      </c>
      <c r="P32" s="671">
        <v>1568.5714285714287</v>
      </c>
      <c r="Q32" s="671">
        <v>0</v>
      </c>
      <c r="R32" s="671">
        <v>0</v>
      </c>
      <c r="S32" s="671">
        <v>0</v>
      </c>
      <c r="T32" s="671">
        <v>0</v>
      </c>
      <c r="U32" s="671">
        <v>0</v>
      </c>
      <c r="V32" s="671">
        <v>0</v>
      </c>
      <c r="W32" s="671">
        <v>0</v>
      </c>
      <c r="X32" s="671">
        <v>400</v>
      </c>
      <c r="Y32" s="671" t="s">
        <v>37</v>
      </c>
      <c r="Z32" s="673" t="s">
        <v>112</v>
      </c>
    </row>
    <row r="33" spans="1:26" s="625" customFormat="1" ht="38.25">
      <c r="A33" s="624"/>
      <c r="B33" s="851">
        <v>13014</v>
      </c>
      <c r="C33" s="851">
        <v>2328</v>
      </c>
      <c r="D33" s="672" t="s">
        <v>839</v>
      </c>
      <c r="E33" s="671" t="s">
        <v>840</v>
      </c>
      <c r="F33" s="671" t="s">
        <v>841</v>
      </c>
      <c r="G33" s="671" t="s">
        <v>821</v>
      </c>
      <c r="H33" s="671" t="s">
        <v>842</v>
      </c>
      <c r="I33" s="671" t="s">
        <v>840</v>
      </c>
      <c r="J33" s="850">
        <v>40464</v>
      </c>
      <c r="K33" s="850">
        <v>40464</v>
      </c>
      <c r="L33" s="671" t="s">
        <v>843</v>
      </c>
      <c r="M33" s="671">
        <v>832</v>
      </c>
      <c r="N33" s="671">
        <v>3744</v>
      </c>
      <c r="O33" s="671">
        <v>4212</v>
      </c>
      <c r="P33" s="671">
        <v>0</v>
      </c>
      <c r="Q33" s="671">
        <v>0</v>
      </c>
      <c r="R33" s="671">
        <v>0</v>
      </c>
      <c r="S33" s="671">
        <v>2340</v>
      </c>
      <c r="T33" s="671">
        <v>7020</v>
      </c>
      <c r="U33" s="671">
        <v>0</v>
      </c>
      <c r="V33" s="671">
        <v>0</v>
      </c>
      <c r="W33" s="671">
        <v>0</v>
      </c>
      <c r="X33" s="671">
        <v>10</v>
      </c>
      <c r="Y33" s="671" t="s">
        <v>112</v>
      </c>
      <c r="Z33" s="673" t="s">
        <v>112</v>
      </c>
    </row>
    <row r="34" spans="1:26" s="625" customFormat="1" ht="25.5">
      <c r="A34" s="624"/>
      <c r="B34" s="851">
        <v>13014</v>
      </c>
      <c r="C34" s="851">
        <v>2321</v>
      </c>
      <c r="D34" s="672" t="s">
        <v>844</v>
      </c>
      <c r="E34" s="671" t="s">
        <v>845</v>
      </c>
      <c r="F34" s="671" t="s">
        <v>846</v>
      </c>
      <c r="G34" s="671" t="s">
        <v>821</v>
      </c>
      <c r="H34" s="671" t="s">
        <v>822</v>
      </c>
      <c r="I34" s="671" t="s">
        <v>845</v>
      </c>
      <c r="J34" s="850">
        <v>40940</v>
      </c>
      <c r="K34" s="850">
        <v>40968</v>
      </c>
      <c r="L34" s="671" t="s">
        <v>823</v>
      </c>
      <c r="M34" s="671">
        <v>404</v>
      </c>
      <c r="N34" s="671">
        <v>1818.0000000000002</v>
      </c>
      <c r="O34" s="671">
        <v>2597.1428571428573</v>
      </c>
      <c r="P34" s="671">
        <v>5194.2857142857156</v>
      </c>
      <c r="Q34" s="671">
        <v>0</v>
      </c>
      <c r="R34" s="671">
        <v>0</v>
      </c>
      <c r="S34" s="671">
        <v>0</v>
      </c>
      <c r="T34" s="671">
        <v>0</v>
      </c>
      <c r="U34" s="671">
        <v>0</v>
      </c>
      <c r="V34" s="671">
        <v>0</v>
      </c>
      <c r="W34" s="671">
        <v>0</v>
      </c>
      <c r="X34" s="671">
        <v>10</v>
      </c>
      <c r="Y34" s="671" t="s">
        <v>112</v>
      </c>
      <c r="Z34" s="673" t="s">
        <v>112</v>
      </c>
    </row>
    <row r="35" spans="1:26" s="625" customFormat="1" ht="25.5">
      <c r="A35" s="624"/>
      <c r="B35" s="851">
        <v>13014</v>
      </c>
      <c r="C35" s="851">
        <v>2322</v>
      </c>
      <c r="D35" s="672" t="s">
        <v>847</v>
      </c>
      <c r="E35" s="671" t="s">
        <v>848</v>
      </c>
      <c r="F35" s="671" t="s">
        <v>849</v>
      </c>
      <c r="G35" s="671" t="s">
        <v>821</v>
      </c>
      <c r="H35" s="671" t="s">
        <v>822</v>
      </c>
      <c r="I35" s="671" t="s">
        <v>850</v>
      </c>
      <c r="J35" s="850">
        <v>41116</v>
      </c>
      <c r="K35" s="850">
        <v>41275</v>
      </c>
      <c r="L35" s="671" t="s">
        <v>823</v>
      </c>
      <c r="M35" s="671">
        <v>9.6999999999999993</v>
      </c>
      <c r="N35" s="671">
        <v>43.649999999999991</v>
      </c>
      <c r="O35" s="671">
        <v>62.357142857142847</v>
      </c>
      <c r="P35" s="671">
        <v>0</v>
      </c>
      <c r="Q35" s="671">
        <v>124.71428571428569</v>
      </c>
      <c r="R35" s="671">
        <v>0</v>
      </c>
      <c r="S35" s="671">
        <v>0</v>
      </c>
      <c r="T35" s="671">
        <v>0</v>
      </c>
      <c r="U35" s="671">
        <v>0</v>
      </c>
      <c r="V35" s="671">
        <v>0</v>
      </c>
      <c r="W35" s="671">
        <v>0</v>
      </c>
      <c r="X35" s="671">
        <v>10</v>
      </c>
      <c r="Y35" s="671" t="s">
        <v>112</v>
      </c>
      <c r="Z35" s="673" t="s">
        <v>112</v>
      </c>
    </row>
    <row r="36" spans="1:26" s="625" customFormat="1" ht="25.5">
      <c r="A36" s="624"/>
      <c r="B36" s="851">
        <v>13014</v>
      </c>
      <c r="C36" s="851">
        <v>2322</v>
      </c>
      <c r="D36" s="672" t="s">
        <v>847</v>
      </c>
      <c r="E36" s="671" t="s">
        <v>848</v>
      </c>
      <c r="F36" s="671" t="s">
        <v>851</v>
      </c>
      <c r="G36" s="671" t="s">
        <v>821</v>
      </c>
      <c r="H36" s="671" t="s">
        <v>822</v>
      </c>
      <c r="I36" s="671" t="s">
        <v>852</v>
      </c>
      <c r="J36" s="850">
        <v>41260</v>
      </c>
      <c r="K36" s="850">
        <v>41275</v>
      </c>
      <c r="L36" s="671" t="s">
        <v>823</v>
      </c>
      <c r="M36" s="671">
        <v>19.399999999999999</v>
      </c>
      <c r="N36" s="671">
        <v>87.299999999999983</v>
      </c>
      <c r="O36" s="671">
        <v>124.71428571428569</v>
      </c>
      <c r="P36" s="671">
        <v>0</v>
      </c>
      <c r="Q36" s="671">
        <v>249.42857142857139</v>
      </c>
      <c r="R36" s="671">
        <v>0</v>
      </c>
      <c r="S36" s="671">
        <v>0</v>
      </c>
      <c r="T36" s="671">
        <v>0</v>
      </c>
      <c r="U36" s="671">
        <v>0</v>
      </c>
      <c r="V36" s="671">
        <v>0</v>
      </c>
      <c r="W36" s="671">
        <v>0</v>
      </c>
      <c r="X36" s="671">
        <v>10</v>
      </c>
      <c r="Y36" s="671" t="s">
        <v>112</v>
      </c>
      <c r="Z36" s="673" t="s">
        <v>112</v>
      </c>
    </row>
    <row r="37" spans="1:26" s="625" customFormat="1" ht="25.5">
      <c r="A37" s="624"/>
      <c r="B37" s="851">
        <v>13014</v>
      </c>
      <c r="C37" s="851">
        <v>2321</v>
      </c>
      <c r="D37" s="672" t="s">
        <v>853</v>
      </c>
      <c r="E37" s="671" t="s">
        <v>854</v>
      </c>
      <c r="F37" s="671" t="s">
        <v>855</v>
      </c>
      <c r="G37" s="671" t="s">
        <v>821</v>
      </c>
      <c r="H37" s="671" t="s">
        <v>822</v>
      </c>
      <c r="I37" s="671" t="s">
        <v>854</v>
      </c>
      <c r="J37" s="850">
        <v>41537</v>
      </c>
      <c r="K37" s="850">
        <v>41540</v>
      </c>
      <c r="L37" s="671" t="s">
        <v>823</v>
      </c>
      <c r="M37" s="671">
        <v>2000</v>
      </c>
      <c r="N37" s="671">
        <v>9000</v>
      </c>
      <c r="O37" s="671">
        <v>12857.142857142857</v>
      </c>
      <c r="P37" s="671">
        <v>25714.285714285717</v>
      </c>
      <c r="Q37" s="671">
        <v>0</v>
      </c>
      <c r="R37" s="671">
        <v>0</v>
      </c>
      <c r="S37" s="671">
        <v>0</v>
      </c>
      <c r="T37" s="671">
        <v>0</v>
      </c>
      <c r="U37" s="671">
        <v>0</v>
      </c>
      <c r="V37" s="671">
        <v>0</v>
      </c>
      <c r="W37" s="671">
        <v>0</v>
      </c>
      <c r="X37" s="671">
        <v>10</v>
      </c>
      <c r="Y37" s="671" t="s">
        <v>112</v>
      </c>
      <c r="Z37" s="673" t="s">
        <v>112</v>
      </c>
    </row>
    <row r="38" spans="1:26" s="625" customFormat="1" ht="25.5">
      <c r="A38" s="624"/>
      <c r="B38" s="851">
        <v>13014</v>
      </c>
      <c r="C38" s="851">
        <v>2321</v>
      </c>
      <c r="D38" s="672" t="s">
        <v>824</v>
      </c>
      <c r="E38" s="671" t="s">
        <v>825</v>
      </c>
      <c r="F38" s="671" t="s">
        <v>856</v>
      </c>
      <c r="G38" s="671" t="s">
        <v>821</v>
      </c>
      <c r="H38" s="671" t="s">
        <v>822</v>
      </c>
      <c r="I38" s="671" t="s">
        <v>857</v>
      </c>
      <c r="J38" s="850">
        <v>41556</v>
      </c>
      <c r="K38" s="850">
        <v>41576</v>
      </c>
      <c r="L38" s="671" t="s">
        <v>823</v>
      </c>
      <c r="M38" s="671">
        <v>1560</v>
      </c>
      <c r="N38" s="671">
        <v>7020</v>
      </c>
      <c r="O38" s="671">
        <v>10028.571428571429</v>
      </c>
      <c r="P38" s="671">
        <v>20057.142857142859</v>
      </c>
      <c r="Q38" s="671">
        <v>0</v>
      </c>
      <c r="R38" s="671">
        <v>0</v>
      </c>
      <c r="S38" s="671">
        <v>0</v>
      </c>
      <c r="T38" s="671">
        <v>0</v>
      </c>
      <c r="U38" s="671">
        <v>0</v>
      </c>
      <c r="V38" s="671">
        <v>0</v>
      </c>
      <c r="W38" s="671">
        <v>0</v>
      </c>
      <c r="X38" s="671">
        <v>10</v>
      </c>
      <c r="Y38" s="671" t="s">
        <v>112</v>
      </c>
      <c r="Z38" s="673" t="s">
        <v>112</v>
      </c>
    </row>
    <row r="39" spans="1:26" s="625" customFormat="1" ht="25.5">
      <c r="A39" s="624"/>
      <c r="B39" s="851">
        <v>13014</v>
      </c>
      <c r="C39" s="851">
        <v>2328</v>
      </c>
      <c r="D39" s="672" t="s">
        <v>858</v>
      </c>
      <c r="E39" s="671" t="s">
        <v>859</v>
      </c>
      <c r="F39" s="671" t="s">
        <v>860</v>
      </c>
      <c r="G39" s="671" t="s">
        <v>821</v>
      </c>
      <c r="H39" s="671" t="s">
        <v>822</v>
      </c>
      <c r="I39" s="671" t="s">
        <v>859</v>
      </c>
      <c r="J39" s="850">
        <v>41576</v>
      </c>
      <c r="K39" s="850">
        <v>41576</v>
      </c>
      <c r="L39" s="671" t="s">
        <v>823</v>
      </c>
      <c r="M39" s="671">
        <v>609</v>
      </c>
      <c r="N39" s="671">
        <v>2740.5</v>
      </c>
      <c r="O39" s="671">
        <v>3915</v>
      </c>
      <c r="P39" s="671">
        <v>7830.0000000000009</v>
      </c>
      <c r="Q39" s="671">
        <v>0</v>
      </c>
      <c r="R39" s="671">
        <v>0</v>
      </c>
      <c r="S39" s="671">
        <v>0</v>
      </c>
      <c r="T39" s="671">
        <v>0</v>
      </c>
      <c r="U39" s="671">
        <v>0</v>
      </c>
      <c r="V39" s="671">
        <v>0</v>
      </c>
      <c r="W39" s="671">
        <v>0</v>
      </c>
      <c r="X39" s="671">
        <v>10</v>
      </c>
      <c r="Y39" s="671" t="s">
        <v>112</v>
      </c>
      <c r="Z39" s="673" t="s">
        <v>112</v>
      </c>
    </row>
    <row r="40" spans="1:26" s="625" customFormat="1" ht="25.5">
      <c r="A40" s="624"/>
      <c r="B40" s="851">
        <v>13014</v>
      </c>
      <c r="C40" s="851">
        <v>2328</v>
      </c>
      <c r="D40" s="672" t="s">
        <v>861</v>
      </c>
      <c r="E40" s="671" t="s">
        <v>862</v>
      </c>
      <c r="F40" s="671" t="s">
        <v>863</v>
      </c>
      <c r="G40" s="671" t="s">
        <v>821</v>
      </c>
      <c r="H40" s="671" t="s">
        <v>822</v>
      </c>
      <c r="I40" s="671" t="s">
        <v>862</v>
      </c>
      <c r="J40" s="850">
        <v>41586</v>
      </c>
      <c r="K40" s="850">
        <v>41596</v>
      </c>
      <c r="L40" s="671" t="s">
        <v>823</v>
      </c>
      <c r="M40" s="671">
        <v>772</v>
      </c>
      <c r="N40" s="671">
        <v>3474</v>
      </c>
      <c r="O40" s="671">
        <v>4962.8571428571431</v>
      </c>
      <c r="P40" s="671">
        <v>9925.7142857142862</v>
      </c>
      <c r="Q40" s="671">
        <v>0</v>
      </c>
      <c r="R40" s="671">
        <v>0</v>
      </c>
      <c r="S40" s="671">
        <v>0</v>
      </c>
      <c r="T40" s="671">
        <v>0</v>
      </c>
      <c r="U40" s="671">
        <v>0</v>
      </c>
      <c r="V40" s="671">
        <v>0</v>
      </c>
      <c r="W40" s="671">
        <v>0</v>
      </c>
      <c r="X40" s="671">
        <v>10</v>
      </c>
      <c r="Y40" s="671" t="s">
        <v>112</v>
      </c>
      <c r="Z40" s="673" t="s">
        <v>112</v>
      </c>
    </row>
    <row r="41" spans="1:26" s="625" customFormat="1" ht="25.5">
      <c r="A41" s="624"/>
      <c r="B41" s="851">
        <v>13014</v>
      </c>
      <c r="C41" s="851">
        <v>2321</v>
      </c>
      <c r="D41" s="672" t="s">
        <v>818</v>
      </c>
      <c r="E41" s="671" t="s">
        <v>819</v>
      </c>
      <c r="F41" s="671" t="s">
        <v>864</v>
      </c>
      <c r="G41" s="671" t="s">
        <v>821</v>
      </c>
      <c r="H41" s="671" t="s">
        <v>822</v>
      </c>
      <c r="I41" s="671" t="s">
        <v>865</v>
      </c>
      <c r="J41" s="850">
        <v>41631</v>
      </c>
      <c r="K41" s="850">
        <v>41631</v>
      </c>
      <c r="L41" s="671" t="s">
        <v>823</v>
      </c>
      <c r="M41" s="671">
        <v>2679</v>
      </c>
      <c r="N41" s="671">
        <v>12055.5</v>
      </c>
      <c r="O41" s="671">
        <v>17222.142857142859</v>
      </c>
      <c r="P41" s="671">
        <v>34444.285714285717</v>
      </c>
      <c r="Q41" s="671">
        <v>0</v>
      </c>
      <c r="R41" s="671">
        <v>0</v>
      </c>
      <c r="S41" s="671">
        <v>0</v>
      </c>
      <c r="T41" s="671">
        <v>0</v>
      </c>
      <c r="U41" s="671">
        <v>0</v>
      </c>
      <c r="V41" s="671">
        <v>0</v>
      </c>
      <c r="W41" s="671">
        <v>0</v>
      </c>
      <c r="X41" s="671">
        <v>10</v>
      </c>
      <c r="Y41" s="671" t="s">
        <v>112</v>
      </c>
      <c r="Z41" s="673" t="s">
        <v>112</v>
      </c>
    </row>
    <row r="42" spans="1:26" s="625" customFormat="1" ht="25.5">
      <c r="A42" s="624"/>
      <c r="B42" s="851">
        <v>13014</v>
      </c>
      <c r="C42" s="851">
        <v>2320</v>
      </c>
      <c r="D42" s="672"/>
      <c r="E42" s="671"/>
      <c r="F42" s="671" t="s">
        <v>866</v>
      </c>
      <c r="G42" s="671" t="s">
        <v>821</v>
      </c>
      <c r="H42" s="671" t="s">
        <v>822</v>
      </c>
      <c r="I42" s="671" t="s">
        <v>834</v>
      </c>
      <c r="J42" s="850">
        <v>42305</v>
      </c>
      <c r="K42" s="850">
        <v>42307</v>
      </c>
      <c r="L42" s="671" t="s">
        <v>823</v>
      </c>
      <c r="M42" s="671">
        <v>2004</v>
      </c>
      <c r="N42" s="671">
        <v>1503</v>
      </c>
      <c r="O42" s="671">
        <v>2147.1428571428573</v>
      </c>
      <c r="P42" s="671">
        <v>4294.2857142857147</v>
      </c>
      <c r="Q42" s="671">
        <v>0</v>
      </c>
      <c r="R42" s="671">
        <v>0</v>
      </c>
      <c r="S42" s="671">
        <v>0</v>
      </c>
      <c r="T42" s="671">
        <v>0</v>
      </c>
      <c r="U42" s="671">
        <v>0</v>
      </c>
      <c r="V42" s="671">
        <v>0</v>
      </c>
      <c r="W42" s="671">
        <v>0</v>
      </c>
      <c r="X42" s="671">
        <v>10</v>
      </c>
      <c r="Y42" s="671" t="s">
        <v>112</v>
      </c>
      <c r="Z42" s="673" t="s">
        <v>112</v>
      </c>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24367.1</v>
      </c>
      <c r="N57" s="629">
        <f>SUM(N27:N56)</f>
        <v>102136.95</v>
      </c>
      <c r="O57" s="629">
        <f t="shared" ref="O57:W57" si="2">SUM(O27:O56)</f>
        <v>144773.35714285716</v>
      </c>
      <c r="P57" s="629">
        <f t="shared" si="2"/>
        <v>280748.57142857148</v>
      </c>
      <c r="Q57" s="629">
        <f t="shared" si="2"/>
        <v>374.14285714285711</v>
      </c>
      <c r="R57" s="629">
        <f t="shared" si="2"/>
        <v>0</v>
      </c>
      <c r="S57" s="629">
        <f t="shared" si="2"/>
        <v>2340</v>
      </c>
      <c r="T57" s="629">
        <f t="shared" si="2"/>
        <v>7020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2000</v>
      </c>
      <c r="N59" s="629">
        <f ca="1">SUMIF($Z$27:AB56,"tertiair",N27:N56)</f>
        <v>9000</v>
      </c>
      <c r="O59" s="629">
        <f ca="1">SUMIF($Z$27:AC56,"tertiair",O27:O56)</f>
        <v>12857.142857142857</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22367.1</v>
      </c>
      <c r="N60" s="634">
        <f t="shared" ref="N60:W60" si="4">SUMIF($Z$27:$Z$56,"landbouw",N27:N56)</f>
        <v>93136.950000000012</v>
      </c>
      <c r="O60" s="634">
        <f t="shared" si="4"/>
        <v>131916.21428571429</v>
      </c>
      <c r="P60" s="634">
        <f t="shared" si="4"/>
        <v>255034.28571428571</v>
      </c>
      <c r="Q60" s="634">
        <f t="shared" si="4"/>
        <v>374.14285714285711</v>
      </c>
      <c r="R60" s="634">
        <f t="shared" si="4"/>
        <v>0</v>
      </c>
      <c r="S60" s="634">
        <f t="shared" si="4"/>
        <v>2340</v>
      </c>
      <c r="T60" s="634">
        <f t="shared" si="4"/>
        <v>7020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13014</v>
      </c>
      <c r="C63" s="851">
        <v>2320</v>
      </c>
      <c r="D63" s="674" t="s">
        <v>867</v>
      </c>
      <c r="E63" s="674" t="s">
        <v>868</v>
      </c>
      <c r="F63" s="674" t="s">
        <v>869</v>
      </c>
      <c r="G63" s="674" t="s">
        <v>870</v>
      </c>
      <c r="H63" s="674" t="s">
        <v>871</v>
      </c>
      <c r="I63" s="674" t="s">
        <v>872</v>
      </c>
      <c r="J63" s="850">
        <v>38763</v>
      </c>
      <c r="K63" s="850">
        <v>39052</v>
      </c>
      <c r="L63" s="674" t="s">
        <v>873</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0.58633986899175616</v>
      </c>
      <c r="C97" s="654">
        <f>IF(ISERROR(N57/(O57+N57)),0,N57/(N57+O57))</f>
        <v>0.41366013100824373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116134.49083752015</v>
      </c>
      <c r="C100" s="663">
        <f t="shared" si="9"/>
        <v>154.76798330151288</v>
      </c>
      <c r="D100" s="663">
        <f t="shared" si="9"/>
        <v>0</v>
      </c>
      <c r="E100" s="663">
        <f t="shared" si="9"/>
        <v>967.96470655929033</v>
      </c>
      <c r="F100" s="663">
        <f t="shared" si="9"/>
        <v>2903.894119677871</v>
      </c>
      <c r="G100" s="663">
        <f t="shared" si="9"/>
        <v>0</v>
      </c>
      <c r="H100" s="663">
        <f t="shared" si="9"/>
        <v>0</v>
      </c>
      <c r="I100" s="664">
        <f t="shared" si="9"/>
        <v>0</v>
      </c>
      <c r="J100" s="621"/>
      <c r="K100" s="621"/>
      <c r="L100" s="659"/>
      <c r="M100" s="646"/>
      <c r="N100" s="646"/>
    </row>
    <row r="101" spans="1:14" ht="15.75" thickBot="1">
      <c r="A101" s="665" t="s">
        <v>286</v>
      </c>
      <c r="B101" s="666">
        <f>$B$97*P57</f>
        <v>164614.08059105129</v>
      </c>
      <c r="C101" s="666">
        <f t="shared" ref="C101:H101" si="10">$B$97*Q57</f>
        <v>219.37487384134417</v>
      </c>
      <c r="D101" s="666">
        <f t="shared" si="10"/>
        <v>0</v>
      </c>
      <c r="E101" s="666">
        <f t="shared" si="10"/>
        <v>1372.0352934407094</v>
      </c>
      <c r="F101" s="666">
        <f t="shared" si="10"/>
        <v>4116.1058803221285</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61445.501703709997</v>
      </c>
      <c r="D10" s="718">
        <f ca="1">tertiair!C16</f>
        <v>12857.142857142857</v>
      </c>
      <c r="E10" s="718">
        <f ca="1">tertiair!D16</f>
        <v>32330.753258811506</v>
      </c>
      <c r="F10" s="718">
        <f>tertiair!E16</f>
        <v>906.59457038185508</v>
      </c>
      <c r="G10" s="718">
        <f ca="1">tertiair!F16</f>
        <v>12917.243459659629</v>
      </c>
      <c r="H10" s="718">
        <f>tertiair!G16</f>
        <v>0</v>
      </c>
      <c r="I10" s="718">
        <f>tertiair!H16</f>
        <v>0</v>
      </c>
      <c r="J10" s="718">
        <f>tertiair!I16</f>
        <v>0</v>
      </c>
      <c r="K10" s="718">
        <f>tertiair!J16</f>
        <v>0</v>
      </c>
      <c r="L10" s="718">
        <f>tertiair!K16</f>
        <v>0</v>
      </c>
      <c r="M10" s="718">
        <f ca="1">tertiair!L16</f>
        <v>0</v>
      </c>
      <c r="N10" s="718">
        <f>tertiair!M16</f>
        <v>0</v>
      </c>
      <c r="O10" s="718">
        <f ca="1">tertiair!N16</f>
        <v>254.30143314440829</v>
      </c>
      <c r="P10" s="718">
        <f>tertiair!O16</f>
        <v>6.2533333333333339</v>
      </c>
      <c r="Q10" s="719">
        <f>tertiair!P16</f>
        <v>95.333333333333343</v>
      </c>
      <c r="R10" s="721">
        <f ca="1">SUM(C10:Q10)</f>
        <v>120813.12394951691</v>
      </c>
      <c r="S10" s="67"/>
    </row>
    <row r="11" spans="1:19" s="474" customFormat="1">
      <c r="A11" s="870" t="s">
        <v>225</v>
      </c>
      <c r="B11" s="875"/>
      <c r="C11" s="718">
        <f>huishoudens!B8</f>
        <v>37912.357629312442</v>
      </c>
      <c r="D11" s="718">
        <f>huishoudens!C8</f>
        <v>0</v>
      </c>
      <c r="E11" s="718">
        <f>huishoudens!D8</f>
        <v>89311.191412738233</v>
      </c>
      <c r="F11" s="718">
        <f>huishoudens!E8</f>
        <v>11990.940490030949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29255.355205047821</v>
      </c>
      <c r="P11" s="718">
        <f>huishoudens!O8</f>
        <v>514.3366666666667</v>
      </c>
      <c r="Q11" s="719">
        <f>huishoudens!P8</f>
        <v>1544.4</v>
      </c>
      <c r="R11" s="721">
        <f>SUM(C11:Q11)</f>
        <v>170528.5814037961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77739.486638429997</v>
      </c>
      <c r="D13" s="718">
        <f>industrie!C18</f>
        <v>0</v>
      </c>
      <c r="E13" s="718">
        <f>industrie!D18</f>
        <v>65268.625485138691</v>
      </c>
      <c r="F13" s="718">
        <f>industrie!E18</f>
        <v>5374.7487025520632</v>
      </c>
      <c r="G13" s="718">
        <f>industrie!F18</f>
        <v>21247.90585243886</v>
      </c>
      <c r="H13" s="718">
        <f>industrie!G18</f>
        <v>0</v>
      </c>
      <c r="I13" s="718">
        <f>industrie!H18</f>
        <v>0</v>
      </c>
      <c r="J13" s="718">
        <f>industrie!I18</f>
        <v>0</v>
      </c>
      <c r="K13" s="718">
        <f>industrie!J18</f>
        <v>693.6194431253457</v>
      </c>
      <c r="L13" s="718">
        <f>industrie!K18</f>
        <v>0</v>
      </c>
      <c r="M13" s="718">
        <f>industrie!L18</f>
        <v>0</v>
      </c>
      <c r="N13" s="718">
        <f>industrie!M18</f>
        <v>0</v>
      </c>
      <c r="O13" s="718">
        <f>industrie!N18</f>
        <v>21229.490852802257</v>
      </c>
      <c r="P13" s="718">
        <f>industrie!O18</f>
        <v>0</v>
      </c>
      <c r="Q13" s="719">
        <f>industrie!P18</f>
        <v>0</v>
      </c>
      <c r="R13" s="721">
        <f>SUM(C13:Q13)</f>
        <v>191553.87697448721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177097.34597145242</v>
      </c>
      <c r="D15" s="723">
        <f t="shared" ref="D15:Q15" ca="1" si="0">SUM(D9:D14)</f>
        <v>12857.142857142857</v>
      </c>
      <c r="E15" s="723">
        <f t="shared" ca="1" si="0"/>
        <v>186910.57015668845</v>
      </c>
      <c r="F15" s="723">
        <f t="shared" si="0"/>
        <v>18272.283762964867</v>
      </c>
      <c r="G15" s="723">
        <f t="shared" ca="1" si="0"/>
        <v>34165.149312098489</v>
      </c>
      <c r="H15" s="723">
        <f t="shared" si="0"/>
        <v>0</v>
      </c>
      <c r="I15" s="723">
        <f t="shared" si="0"/>
        <v>0</v>
      </c>
      <c r="J15" s="723">
        <f t="shared" si="0"/>
        <v>0</v>
      </c>
      <c r="K15" s="723">
        <f t="shared" si="0"/>
        <v>693.6194431253457</v>
      </c>
      <c r="L15" s="723">
        <f t="shared" si="0"/>
        <v>0</v>
      </c>
      <c r="M15" s="723">
        <f t="shared" ca="1" si="0"/>
        <v>0</v>
      </c>
      <c r="N15" s="723">
        <f t="shared" si="0"/>
        <v>0</v>
      </c>
      <c r="O15" s="723">
        <f t="shared" ca="1" si="0"/>
        <v>50739.147490994488</v>
      </c>
      <c r="P15" s="723">
        <f t="shared" si="0"/>
        <v>520.59</v>
      </c>
      <c r="Q15" s="724">
        <f t="shared" si="0"/>
        <v>1639.7333333333333</v>
      </c>
      <c r="R15" s="725">
        <f ca="1">SUM(R9:R14)</f>
        <v>482895.58232780022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1773.5628010000075</v>
      </c>
      <c r="I18" s="718">
        <f>transport!H54</f>
        <v>0</v>
      </c>
      <c r="J18" s="718">
        <f>transport!I54</f>
        <v>0</v>
      </c>
      <c r="K18" s="718">
        <f>transport!J54</f>
        <v>0</v>
      </c>
      <c r="L18" s="718">
        <f>transport!K54</f>
        <v>0</v>
      </c>
      <c r="M18" s="718">
        <f>transport!L54</f>
        <v>0</v>
      </c>
      <c r="N18" s="718">
        <f>transport!M54</f>
        <v>55.011950304089666</v>
      </c>
      <c r="O18" s="718">
        <f>transport!N54</f>
        <v>0</v>
      </c>
      <c r="P18" s="718">
        <f>transport!O54</f>
        <v>0</v>
      </c>
      <c r="Q18" s="719">
        <f>transport!P54</f>
        <v>0</v>
      </c>
      <c r="R18" s="721">
        <f>SUM(C18:Q18)</f>
        <v>1828.5747513040972</v>
      </c>
      <c r="S18" s="67"/>
    </row>
    <row r="19" spans="1:19" s="474" customFormat="1" ht="15" thickBot="1">
      <c r="A19" s="870" t="s">
        <v>307</v>
      </c>
      <c r="B19" s="875"/>
      <c r="C19" s="727">
        <f>transport!B14</f>
        <v>61.622785865828781</v>
      </c>
      <c r="D19" s="727">
        <f>transport!C14</f>
        <v>0</v>
      </c>
      <c r="E19" s="727">
        <f>transport!D14</f>
        <v>139.76414244153253</v>
      </c>
      <c r="F19" s="727">
        <f>transport!E14</f>
        <v>606.82488902096247</v>
      </c>
      <c r="G19" s="727">
        <f>transport!F14</f>
        <v>0</v>
      </c>
      <c r="H19" s="727">
        <f>transport!G14</f>
        <v>259634.79419397772</v>
      </c>
      <c r="I19" s="727">
        <f>transport!H14</f>
        <v>38390.680936334</v>
      </c>
      <c r="J19" s="727">
        <f>transport!I14</f>
        <v>0</v>
      </c>
      <c r="K19" s="727">
        <f>transport!J14</f>
        <v>0</v>
      </c>
      <c r="L19" s="727">
        <f>transport!K14</f>
        <v>0</v>
      </c>
      <c r="M19" s="727">
        <f>transport!L14</f>
        <v>0</v>
      </c>
      <c r="N19" s="727">
        <f>transport!M14</f>
        <v>9329.6398375417648</v>
      </c>
      <c r="O19" s="727">
        <f>transport!N14</f>
        <v>0</v>
      </c>
      <c r="P19" s="727">
        <f>transport!O14</f>
        <v>0</v>
      </c>
      <c r="Q19" s="728">
        <f>transport!P14</f>
        <v>0</v>
      </c>
      <c r="R19" s="729">
        <f>SUM(C19:Q19)</f>
        <v>308163.32678518182</v>
      </c>
      <c r="S19" s="67"/>
    </row>
    <row r="20" spans="1:19" s="474" customFormat="1" ht="15.75" thickBot="1">
      <c r="A20" s="730" t="s">
        <v>230</v>
      </c>
      <c r="B20" s="878"/>
      <c r="C20" s="873">
        <f>SUM(C17:C19)</f>
        <v>61.622785865828781</v>
      </c>
      <c r="D20" s="731">
        <f t="shared" ref="D20:R20" si="1">SUM(D17:D19)</f>
        <v>0</v>
      </c>
      <c r="E20" s="731">
        <f t="shared" si="1"/>
        <v>139.76414244153253</v>
      </c>
      <c r="F20" s="731">
        <f t="shared" si="1"/>
        <v>606.82488902096247</v>
      </c>
      <c r="G20" s="731">
        <f t="shared" si="1"/>
        <v>0</v>
      </c>
      <c r="H20" s="731">
        <f t="shared" si="1"/>
        <v>261408.35699497774</v>
      </c>
      <c r="I20" s="731">
        <f t="shared" si="1"/>
        <v>38390.680936334</v>
      </c>
      <c r="J20" s="731">
        <f t="shared" si="1"/>
        <v>0</v>
      </c>
      <c r="K20" s="731">
        <f t="shared" si="1"/>
        <v>0</v>
      </c>
      <c r="L20" s="731">
        <f t="shared" si="1"/>
        <v>0</v>
      </c>
      <c r="M20" s="731">
        <f t="shared" si="1"/>
        <v>0</v>
      </c>
      <c r="N20" s="731">
        <f t="shared" si="1"/>
        <v>9384.6517878458544</v>
      </c>
      <c r="O20" s="731">
        <f t="shared" si="1"/>
        <v>0</v>
      </c>
      <c r="P20" s="731">
        <f t="shared" si="1"/>
        <v>0</v>
      </c>
      <c r="Q20" s="732">
        <f t="shared" si="1"/>
        <v>0</v>
      </c>
      <c r="R20" s="733">
        <f t="shared" si="1"/>
        <v>309991.90153648594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21612.439733700001</v>
      </c>
      <c r="D22" s="727">
        <f>+landbouw!C8</f>
        <v>131916.21428571429</v>
      </c>
      <c r="E22" s="727">
        <f>+landbouw!D8</f>
        <v>0</v>
      </c>
      <c r="F22" s="727">
        <f>+landbouw!E8</f>
        <v>557.30183855750943</v>
      </c>
      <c r="G22" s="727">
        <f>+landbouw!F8</f>
        <v>76657.583115882648</v>
      </c>
      <c r="H22" s="727">
        <f>+landbouw!G8</f>
        <v>0</v>
      </c>
      <c r="I22" s="727">
        <f>+landbouw!H8</f>
        <v>0</v>
      </c>
      <c r="J22" s="727">
        <f>+landbouw!I8</f>
        <v>0</v>
      </c>
      <c r="K22" s="727">
        <f>+landbouw!J8</f>
        <v>3111.3962722437809</v>
      </c>
      <c r="L22" s="727">
        <f>+landbouw!K8</f>
        <v>0</v>
      </c>
      <c r="M22" s="727">
        <f>+landbouw!L8</f>
        <v>0</v>
      </c>
      <c r="N22" s="727">
        <f>+landbouw!M8</f>
        <v>0</v>
      </c>
      <c r="O22" s="727">
        <f>+landbouw!N8</f>
        <v>0</v>
      </c>
      <c r="P22" s="727">
        <f>+landbouw!O8</f>
        <v>0</v>
      </c>
      <c r="Q22" s="728">
        <f>+landbouw!P8</f>
        <v>0</v>
      </c>
      <c r="R22" s="729">
        <f>SUM(C22:Q22)</f>
        <v>233854.93524609823</v>
      </c>
      <c r="S22" s="67"/>
    </row>
    <row r="23" spans="1:19" s="474" customFormat="1" ht="17.25" thickTop="1" thickBot="1">
      <c r="A23" s="734" t="s">
        <v>116</v>
      </c>
      <c r="B23" s="864"/>
      <c r="C23" s="735">
        <f ca="1">C20+C15+C22</f>
        <v>198771.40849101826</v>
      </c>
      <c r="D23" s="735">
        <f t="shared" ref="D23:Q23" ca="1" si="2">D20+D15+D22</f>
        <v>144773.35714285716</v>
      </c>
      <c r="E23" s="735">
        <f t="shared" ca="1" si="2"/>
        <v>187050.33429912999</v>
      </c>
      <c r="F23" s="735">
        <f t="shared" si="2"/>
        <v>19436.410490543338</v>
      </c>
      <c r="G23" s="735">
        <f t="shared" ca="1" si="2"/>
        <v>110822.73242798113</v>
      </c>
      <c r="H23" s="735">
        <f t="shared" si="2"/>
        <v>261408.35699497774</v>
      </c>
      <c r="I23" s="735">
        <f t="shared" si="2"/>
        <v>38390.680936334</v>
      </c>
      <c r="J23" s="735">
        <f t="shared" si="2"/>
        <v>0</v>
      </c>
      <c r="K23" s="735">
        <f t="shared" si="2"/>
        <v>3805.0157153691266</v>
      </c>
      <c r="L23" s="735">
        <f t="shared" si="2"/>
        <v>0</v>
      </c>
      <c r="M23" s="735">
        <f t="shared" ca="1" si="2"/>
        <v>0</v>
      </c>
      <c r="N23" s="735">
        <f t="shared" si="2"/>
        <v>9384.6517878458544</v>
      </c>
      <c r="O23" s="735">
        <f t="shared" ca="1" si="2"/>
        <v>50739.147490994488</v>
      </c>
      <c r="P23" s="735">
        <f t="shared" si="2"/>
        <v>520.59</v>
      </c>
      <c r="Q23" s="736">
        <f t="shared" si="2"/>
        <v>1639.7333333333333</v>
      </c>
      <c r="R23" s="737">
        <f ca="1">R20+R15+R22</f>
        <v>1026742.4191103844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10617.491962403956</v>
      </c>
      <c r="D36" s="718">
        <f ca="1">tertiair!C20</f>
        <v>2985.6065596587105</v>
      </c>
      <c r="E36" s="718">
        <f ca="1">tertiair!D20</f>
        <v>6530.8121582799249</v>
      </c>
      <c r="F36" s="718">
        <f>tertiair!E20</f>
        <v>205.79696747668112</v>
      </c>
      <c r="G36" s="718">
        <f ca="1">tertiair!F20</f>
        <v>3448.9040037291211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23788.611651548392</v>
      </c>
    </row>
    <row r="37" spans="1:18">
      <c r="A37" s="885" t="s">
        <v>225</v>
      </c>
      <c r="B37" s="892"/>
      <c r="C37" s="718">
        <f ca="1">huishoudens!B12</f>
        <v>6551.0760144172555</v>
      </c>
      <c r="D37" s="718">
        <f ca="1">huishoudens!C12</f>
        <v>0</v>
      </c>
      <c r="E37" s="718">
        <f>huishoudens!D12</f>
        <v>18040.860665373126</v>
      </c>
      <c r="F37" s="718">
        <f>huishoudens!E12</f>
        <v>2721.9434912370257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27313.880171027409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13433.015463442847</v>
      </c>
      <c r="D39" s="718">
        <f ca="1">industrie!C22</f>
        <v>0</v>
      </c>
      <c r="E39" s="718">
        <f>industrie!D22</f>
        <v>13184.262347998016</v>
      </c>
      <c r="F39" s="718">
        <f>industrie!E22</f>
        <v>1220.0679554793185</v>
      </c>
      <c r="G39" s="718">
        <f>industrie!F22</f>
        <v>5673.1908626011764</v>
      </c>
      <c r="H39" s="718">
        <f>industrie!G22</f>
        <v>0</v>
      </c>
      <c r="I39" s="718">
        <f>industrie!H22</f>
        <v>0</v>
      </c>
      <c r="J39" s="718">
        <f>industrie!I22</f>
        <v>0</v>
      </c>
      <c r="K39" s="718">
        <f>industrie!J22</f>
        <v>245.54128286637237</v>
      </c>
      <c r="L39" s="718">
        <f>industrie!K22</f>
        <v>0</v>
      </c>
      <c r="M39" s="718">
        <f>industrie!L22</f>
        <v>0</v>
      </c>
      <c r="N39" s="718">
        <f>industrie!M22</f>
        <v>0</v>
      </c>
      <c r="O39" s="718">
        <f>industrie!N22</f>
        <v>0</v>
      </c>
      <c r="P39" s="718">
        <f>industrie!O22</f>
        <v>0</v>
      </c>
      <c r="Q39" s="828">
        <f>industrie!P22</f>
        <v>0</v>
      </c>
      <c r="R39" s="918">
        <f ca="1">SUM(C39:Q39)</f>
        <v>33756.077912387736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30601.583440264058</v>
      </c>
      <c r="D41" s="763">
        <f t="shared" ref="D41:R41" ca="1" si="4">SUM(D35:D40)</f>
        <v>2985.6065596587105</v>
      </c>
      <c r="E41" s="763">
        <f t="shared" ca="1" si="4"/>
        <v>37755.935171651065</v>
      </c>
      <c r="F41" s="763">
        <f t="shared" si="4"/>
        <v>4147.8084141930249</v>
      </c>
      <c r="G41" s="763">
        <f t="shared" ca="1" si="4"/>
        <v>9122.094866330297</v>
      </c>
      <c r="H41" s="763">
        <f t="shared" si="4"/>
        <v>0</v>
      </c>
      <c r="I41" s="763">
        <f t="shared" si="4"/>
        <v>0</v>
      </c>
      <c r="J41" s="763">
        <f t="shared" si="4"/>
        <v>0</v>
      </c>
      <c r="K41" s="763">
        <f t="shared" si="4"/>
        <v>245.54128286637237</v>
      </c>
      <c r="L41" s="763">
        <f t="shared" si="4"/>
        <v>0</v>
      </c>
      <c r="M41" s="763">
        <f t="shared" ca="1" si="4"/>
        <v>0</v>
      </c>
      <c r="N41" s="763">
        <f t="shared" si="4"/>
        <v>0</v>
      </c>
      <c r="O41" s="763">
        <f t="shared" ca="1" si="4"/>
        <v>0</v>
      </c>
      <c r="P41" s="763">
        <f t="shared" si="4"/>
        <v>0</v>
      </c>
      <c r="Q41" s="764">
        <f t="shared" si="4"/>
        <v>0</v>
      </c>
      <c r="R41" s="765">
        <f t="shared" ca="1" si="4"/>
        <v>84858.56973496353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473.54126786700203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473.54126786700203</v>
      </c>
    </row>
    <row r="45" spans="1:18" ht="15" thickBot="1">
      <c r="A45" s="888" t="s">
        <v>307</v>
      </c>
      <c r="B45" s="898"/>
      <c r="C45" s="727">
        <f ca="1">transport!B18</f>
        <v>10.648125826790551</v>
      </c>
      <c r="D45" s="727">
        <f>transport!C18</f>
        <v>0</v>
      </c>
      <c r="E45" s="727">
        <f>transport!D18</f>
        <v>28.232356773189572</v>
      </c>
      <c r="F45" s="727">
        <f>transport!E18</f>
        <v>137.74924980775847</v>
      </c>
      <c r="G45" s="727">
        <f>transport!F18</f>
        <v>0</v>
      </c>
      <c r="H45" s="727">
        <f>transport!G18</f>
        <v>69322.490049792061</v>
      </c>
      <c r="I45" s="727">
        <f>transport!H18</f>
        <v>9559.2795531471656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79058.399335346956</v>
      </c>
    </row>
    <row r="46" spans="1:18" ht="15.75" thickBot="1">
      <c r="A46" s="886" t="s">
        <v>230</v>
      </c>
      <c r="B46" s="899"/>
      <c r="C46" s="763">
        <f t="shared" ref="C46:R46" ca="1" si="5">SUM(C43:C45)</f>
        <v>10.648125826790551</v>
      </c>
      <c r="D46" s="763">
        <f t="shared" ca="1" si="5"/>
        <v>0</v>
      </c>
      <c r="E46" s="763">
        <f t="shared" si="5"/>
        <v>28.232356773189572</v>
      </c>
      <c r="F46" s="763">
        <f t="shared" si="5"/>
        <v>137.74924980775847</v>
      </c>
      <c r="G46" s="763">
        <f t="shared" si="5"/>
        <v>0</v>
      </c>
      <c r="H46" s="763">
        <f t="shared" si="5"/>
        <v>69796.031317659057</v>
      </c>
      <c r="I46" s="763">
        <f t="shared" si="5"/>
        <v>9559.2795531471656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79531.940603213952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3734.5273258082061</v>
      </c>
      <c r="D48" s="718">
        <f ca="1">+landbouw!C12</f>
        <v>30632.771143082318</v>
      </c>
      <c r="E48" s="718">
        <f>+landbouw!D12</f>
        <v>0</v>
      </c>
      <c r="F48" s="718">
        <f>+landbouw!E12</f>
        <v>126.50751735255464</v>
      </c>
      <c r="G48" s="718">
        <f>+landbouw!F12</f>
        <v>20467.574691940667</v>
      </c>
      <c r="H48" s="718">
        <f>+landbouw!G12</f>
        <v>0</v>
      </c>
      <c r="I48" s="718">
        <f>+landbouw!H12</f>
        <v>0</v>
      </c>
      <c r="J48" s="718">
        <f>+landbouw!I12</f>
        <v>0</v>
      </c>
      <c r="K48" s="718">
        <f>+landbouw!J12</f>
        <v>1101.4342803742984</v>
      </c>
      <c r="L48" s="718">
        <f>+landbouw!K12</f>
        <v>0</v>
      </c>
      <c r="M48" s="718">
        <f>+landbouw!L12</f>
        <v>0</v>
      </c>
      <c r="N48" s="718">
        <f>+landbouw!M12</f>
        <v>0</v>
      </c>
      <c r="O48" s="718">
        <f>+landbouw!N12</f>
        <v>0</v>
      </c>
      <c r="P48" s="718">
        <f>+landbouw!O12</f>
        <v>0</v>
      </c>
      <c r="Q48" s="719">
        <f>+landbouw!P12</f>
        <v>0</v>
      </c>
      <c r="R48" s="761">
        <f ca="1">SUM(C48:Q48)</f>
        <v>56062.814958558047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34346.758891899059</v>
      </c>
      <c r="D53" s="773">
        <f t="shared" ref="D53:Q53" ca="1" si="6">D41+D46+D48</f>
        <v>33618.377702741025</v>
      </c>
      <c r="E53" s="773">
        <f t="shared" ca="1" si="6"/>
        <v>37784.167528424252</v>
      </c>
      <c r="F53" s="773">
        <f t="shared" si="6"/>
        <v>4412.0651813533377</v>
      </c>
      <c r="G53" s="773">
        <f t="shared" ca="1" si="6"/>
        <v>29589.669558270965</v>
      </c>
      <c r="H53" s="773">
        <f t="shared" si="6"/>
        <v>69796.031317659057</v>
      </c>
      <c r="I53" s="773">
        <f t="shared" si="6"/>
        <v>9559.2795531471656</v>
      </c>
      <c r="J53" s="773">
        <f t="shared" si="6"/>
        <v>0</v>
      </c>
      <c r="K53" s="773">
        <f t="shared" si="6"/>
        <v>1346.9755632406707</v>
      </c>
      <c r="L53" s="773">
        <f t="shared" si="6"/>
        <v>0</v>
      </c>
      <c r="M53" s="773">
        <f t="shared" ca="1" si="6"/>
        <v>0</v>
      </c>
      <c r="N53" s="773">
        <f t="shared" si="6"/>
        <v>0</v>
      </c>
      <c r="O53" s="773">
        <f t="shared" ca="1" si="6"/>
        <v>0</v>
      </c>
      <c r="P53" s="773">
        <f>P41+P46+P48</f>
        <v>0</v>
      </c>
      <c r="Q53" s="774">
        <f t="shared" si="6"/>
        <v>0</v>
      </c>
      <c r="R53" s="775">
        <f ca="1">R41+R46+R48</f>
        <v>220453.32529673554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0.17279526845759138</v>
      </c>
      <c r="D55" s="836">
        <f t="shared" ca="1" si="7"/>
        <v>0.23221384352901075</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38096.78778172451</v>
      </c>
      <c r="C64" s="795">
        <f>'lokale energieproductie'!B4</f>
        <v>38096.78778172451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9100.9912248202236</v>
      </c>
      <c r="C66" s="795">
        <f>'lokale energieproductie'!B6</f>
        <v>9100.9912248202236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102136.95</v>
      </c>
      <c r="C67" s="794">
        <f>B67*IFERROR(SUM(J67:L67)/SUM(D67:M67),0)</f>
        <v>2599.862787532476</v>
      </c>
      <c r="D67" s="826">
        <f>'lokale energieproductie'!C7</f>
        <v>116134.49083752015</v>
      </c>
      <c r="E67" s="827">
        <f>'lokale energieproductie'!D7</f>
        <v>0</v>
      </c>
      <c r="F67" s="827">
        <f>'lokale energieproductie'!E7</f>
        <v>967.96470655929033</v>
      </c>
      <c r="G67" s="827">
        <f>'lokale energieproductie'!F7</f>
        <v>0</v>
      </c>
      <c r="H67" s="827">
        <f>'lokale energieproductie'!G7</f>
        <v>0</v>
      </c>
      <c r="I67" s="827">
        <f>'lokale energieproductie'!H7</f>
        <v>0</v>
      </c>
      <c r="J67" s="827">
        <f>'lokale energieproductie'!I7</f>
        <v>2903.894119677871</v>
      </c>
      <c r="K67" s="827">
        <f>'lokale energieproductie'!J7</f>
        <v>154.76798330151288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23717.613725830404</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150675.72900654475</v>
      </c>
      <c r="C69" s="803">
        <f>SUM(C64:C68)</f>
        <v>51138.641794077208</v>
      </c>
      <c r="D69" s="804">
        <f t="shared" ref="D69:M69" si="8">SUM(D67:D68)</f>
        <v>116134.49083752015</v>
      </c>
      <c r="E69" s="804">
        <f t="shared" si="8"/>
        <v>0</v>
      </c>
      <c r="F69" s="804">
        <f t="shared" si="8"/>
        <v>967.96470655929033</v>
      </c>
      <c r="G69" s="804">
        <f t="shared" si="8"/>
        <v>0</v>
      </c>
      <c r="H69" s="804">
        <f t="shared" si="8"/>
        <v>0</v>
      </c>
      <c r="I69" s="804">
        <f t="shared" si="8"/>
        <v>0</v>
      </c>
      <c r="J69" s="804">
        <f t="shared" si="8"/>
        <v>2903.894119677871</v>
      </c>
      <c r="K69" s="804">
        <f t="shared" si="8"/>
        <v>3986.1965547300842</v>
      </c>
      <c r="L69" s="804">
        <f t="shared" si="8"/>
        <v>0</v>
      </c>
      <c r="M69" s="930">
        <f t="shared" si="8"/>
        <v>0</v>
      </c>
      <c r="N69" s="805">
        <v>0</v>
      </c>
      <c r="O69" s="805">
        <f>SUM(O67:O68)</f>
        <v>23717.613725830404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144773.35714285716</v>
      </c>
      <c r="C78" s="817">
        <f>B78*IFERROR(SUM(I78:L78)/SUM(D78:M78),0)</f>
        <v>3685.1586410389518</v>
      </c>
      <c r="D78" s="832">
        <f>'lokale energieproductie'!C16</f>
        <v>164614.08059105129</v>
      </c>
      <c r="E78" s="832">
        <f>'lokale energieproductie'!D16</f>
        <v>0</v>
      </c>
      <c r="F78" s="832">
        <f>'lokale energieproductie'!E16</f>
        <v>1372.0352934407094</v>
      </c>
      <c r="G78" s="832">
        <f>'lokale energieproductie'!F16</f>
        <v>0</v>
      </c>
      <c r="H78" s="832">
        <f>'lokale energieproductie'!G16</f>
        <v>0</v>
      </c>
      <c r="I78" s="832">
        <f>'lokale energieproductie'!H16</f>
        <v>0</v>
      </c>
      <c r="J78" s="832">
        <f>'lokale energieproductie'!I16</f>
        <v>4116.1058803221285</v>
      </c>
      <c r="K78" s="832">
        <f>'lokale energieproductie'!J16</f>
        <v>219.37487384134417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33618.377702741032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144773.35714285716</v>
      </c>
      <c r="C81" s="803">
        <f>SUM(C78:C80)</f>
        <v>3685.1586410389518</v>
      </c>
      <c r="D81" s="803">
        <f t="shared" ref="D81:P81" si="9">SUM(D78:D80)</f>
        <v>164614.08059105129</v>
      </c>
      <c r="E81" s="803">
        <f t="shared" si="9"/>
        <v>0</v>
      </c>
      <c r="F81" s="803">
        <f t="shared" si="9"/>
        <v>1372.0352934407094</v>
      </c>
      <c r="G81" s="803">
        <f t="shared" si="9"/>
        <v>0</v>
      </c>
      <c r="H81" s="803">
        <f t="shared" si="9"/>
        <v>0</v>
      </c>
      <c r="I81" s="803">
        <f t="shared" si="9"/>
        <v>0</v>
      </c>
      <c r="J81" s="803">
        <f t="shared" si="9"/>
        <v>4116.1058803221285</v>
      </c>
      <c r="K81" s="803">
        <f t="shared" si="9"/>
        <v>219.37487384134417</v>
      </c>
      <c r="L81" s="803">
        <f t="shared" si="9"/>
        <v>0</v>
      </c>
      <c r="M81" s="803">
        <f t="shared" si="9"/>
        <v>0</v>
      </c>
      <c r="N81" s="803">
        <v>0</v>
      </c>
      <c r="O81" s="803">
        <f>SUM(O78:O80)</f>
        <v>33618.377702741032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37912.357629312442</v>
      </c>
      <c r="C4" s="478">
        <f>huishoudens!C8</f>
        <v>0</v>
      </c>
      <c r="D4" s="478">
        <f>huishoudens!D8</f>
        <v>89311.191412738233</v>
      </c>
      <c r="E4" s="478">
        <f>huishoudens!E8</f>
        <v>11990.940490030949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29255.355205047821</v>
      </c>
      <c r="O4" s="478">
        <f>huishoudens!O8</f>
        <v>514.3366666666667</v>
      </c>
      <c r="P4" s="479">
        <f>huishoudens!P8</f>
        <v>1544.4</v>
      </c>
      <c r="Q4" s="480">
        <f>SUM(B4:P4)</f>
        <v>170528.5814037961</v>
      </c>
    </row>
    <row r="5" spans="1:17">
      <c r="A5" s="477" t="s">
        <v>156</v>
      </c>
      <c r="B5" s="478">
        <f ca="1">tertiair!B16</f>
        <v>60012.276703709998</v>
      </c>
      <c r="C5" s="478">
        <f ca="1">tertiair!C16</f>
        <v>12857.142857142857</v>
      </c>
      <c r="D5" s="478">
        <f ca="1">tertiair!D16</f>
        <v>32330.753258811506</v>
      </c>
      <c r="E5" s="478">
        <f>tertiair!E16</f>
        <v>906.59457038185508</v>
      </c>
      <c r="F5" s="478">
        <f ca="1">tertiair!F16</f>
        <v>12917.243459659629</v>
      </c>
      <c r="G5" s="478">
        <f>tertiair!G16</f>
        <v>0</v>
      </c>
      <c r="H5" s="478">
        <f>tertiair!H16</f>
        <v>0</v>
      </c>
      <c r="I5" s="478">
        <f>tertiair!I16</f>
        <v>0</v>
      </c>
      <c r="J5" s="478">
        <f>tertiair!J16</f>
        <v>0</v>
      </c>
      <c r="K5" s="478">
        <f>tertiair!K16</f>
        <v>0</v>
      </c>
      <c r="L5" s="478">
        <f ca="1">tertiair!L16</f>
        <v>0</v>
      </c>
      <c r="M5" s="478">
        <f>tertiair!M16</f>
        <v>0</v>
      </c>
      <c r="N5" s="478">
        <f ca="1">tertiair!N16</f>
        <v>254.30143314440829</v>
      </c>
      <c r="O5" s="478">
        <f>tertiair!O16</f>
        <v>6.2533333333333339</v>
      </c>
      <c r="P5" s="479">
        <f>tertiair!P16</f>
        <v>95.333333333333343</v>
      </c>
      <c r="Q5" s="477">
        <f t="shared" ref="Q5:Q13" ca="1" si="0">SUM(B5:P5)</f>
        <v>119379.89894951691</v>
      </c>
    </row>
    <row r="6" spans="1:17">
      <c r="A6" s="477" t="s">
        <v>194</v>
      </c>
      <c r="B6" s="478">
        <f>'openbare verlichting'!B8</f>
        <v>1433.2249999999999</v>
      </c>
      <c r="C6" s="478"/>
      <c r="D6" s="478"/>
      <c r="E6" s="478"/>
      <c r="F6" s="478"/>
      <c r="G6" s="478"/>
      <c r="H6" s="478"/>
      <c r="I6" s="478"/>
      <c r="J6" s="478"/>
      <c r="K6" s="478"/>
      <c r="L6" s="478"/>
      <c r="M6" s="478"/>
      <c r="N6" s="478"/>
      <c r="O6" s="478"/>
      <c r="P6" s="479"/>
      <c r="Q6" s="477">
        <f t="shared" si="0"/>
        <v>1433.2249999999999</v>
      </c>
    </row>
    <row r="7" spans="1:17">
      <c r="A7" s="477" t="s">
        <v>112</v>
      </c>
      <c r="B7" s="478">
        <f>landbouw!B8</f>
        <v>21612.439733700001</v>
      </c>
      <c r="C7" s="478">
        <f>landbouw!C8</f>
        <v>131916.21428571429</v>
      </c>
      <c r="D7" s="478">
        <f>landbouw!D8</f>
        <v>0</v>
      </c>
      <c r="E7" s="478">
        <f>landbouw!E8</f>
        <v>557.30183855750943</v>
      </c>
      <c r="F7" s="478">
        <f>landbouw!F8</f>
        <v>76657.583115882648</v>
      </c>
      <c r="G7" s="478">
        <f>landbouw!G8</f>
        <v>0</v>
      </c>
      <c r="H7" s="478">
        <f>landbouw!H8</f>
        <v>0</v>
      </c>
      <c r="I7" s="478">
        <f>landbouw!I8</f>
        <v>0</v>
      </c>
      <c r="J7" s="478">
        <f>landbouw!J8</f>
        <v>3111.3962722437809</v>
      </c>
      <c r="K7" s="478">
        <f>landbouw!K8</f>
        <v>0</v>
      </c>
      <c r="L7" s="478">
        <f>landbouw!L8</f>
        <v>0</v>
      </c>
      <c r="M7" s="478">
        <f>landbouw!M8</f>
        <v>0</v>
      </c>
      <c r="N7" s="478">
        <f>landbouw!N8</f>
        <v>0</v>
      </c>
      <c r="O7" s="478">
        <f>landbouw!O8</f>
        <v>0</v>
      </c>
      <c r="P7" s="479">
        <f>landbouw!P8</f>
        <v>0</v>
      </c>
      <c r="Q7" s="477">
        <f t="shared" si="0"/>
        <v>233854.93524609823</v>
      </c>
    </row>
    <row r="8" spans="1:17">
      <c r="A8" s="477" t="s">
        <v>638</v>
      </c>
      <c r="B8" s="478">
        <f>industrie!B18</f>
        <v>77739.486638429997</v>
      </c>
      <c r="C8" s="478">
        <f>industrie!C18</f>
        <v>0</v>
      </c>
      <c r="D8" s="478">
        <f>industrie!D18</f>
        <v>65268.625485138691</v>
      </c>
      <c r="E8" s="478">
        <f>industrie!E18</f>
        <v>5374.7487025520632</v>
      </c>
      <c r="F8" s="478">
        <f>industrie!F18</f>
        <v>21247.90585243886</v>
      </c>
      <c r="G8" s="478">
        <f>industrie!G18</f>
        <v>0</v>
      </c>
      <c r="H8" s="478">
        <f>industrie!H18</f>
        <v>0</v>
      </c>
      <c r="I8" s="478">
        <f>industrie!I18</f>
        <v>0</v>
      </c>
      <c r="J8" s="478">
        <f>industrie!J18</f>
        <v>693.6194431253457</v>
      </c>
      <c r="K8" s="478">
        <f>industrie!K18</f>
        <v>0</v>
      </c>
      <c r="L8" s="478">
        <f>industrie!L18</f>
        <v>0</v>
      </c>
      <c r="M8" s="478">
        <f>industrie!M18</f>
        <v>0</v>
      </c>
      <c r="N8" s="478">
        <f>industrie!N18</f>
        <v>21229.490852802257</v>
      </c>
      <c r="O8" s="478">
        <f>industrie!O18</f>
        <v>0</v>
      </c>
      <c r="P8" s="479">
        <f>industrie!P18</f>
        <v>0</v>
      </c>
      <c r="Q8" s="477">
        <f t="shared" si="0"/>
        <v>191553.87697448721</v>
      </c>
    </row>
    <row r="9" spans="1:17" s="483" customFormat="1">
      <c r="A9" s="481" t="s">
        <v>564</v>
      </c>
      <c r="B9" s="482">
        <f>transport!B14</f>
        <v>61.622785865828781</v>
      </c>
      <c r="C9" s="482">
        <f>transport!C14</f>
        <v>0</v>
      </c>
      <c r="D9" s="482">
        <f>transport!D14</f>
        <v>139.76414244153253</v>
      </c>
      <c r="E9" s="482">
        <f>transport!E14</f>
        <v>606.82488902096247</v>
      </c>
      <c r="F9" s="482">
        <f>transport!F14</f>
        <v>0</v>
      </c>
      <c r="G9" s="482">
        <f>transport!G14</f>
        <v>259634.79419397772</v>
      </c>
      <c r="H9" s="482">
        <f>transport!H14</f>
        <v>38390.680936334</v>
      </c>
      <c r="I9" s="482">
        <f>transport!I14</f>
        <v>0</v>
      </c>
      <c r="J9" s="482">
        <f>transport!J14</f>
        <v>0</v>
      </c>
      <c r="K9" s="482">
        <f>transport!K14</f>
        <v>0</v>
      </c>
      <c r="L9" s="482">
        <f>transport!L14</f>
        <v>0</v>
      </c>
      <c r="M9" s="482">
        <f>transport!M14</f>
        <v>9329.6398375417648</v>
      </c>
      <c r="N9" s="482">
        <f>transport!N14</f>
        <v>0</v>
      </c>
      <c r="O9" s="482">
        <f>transport!O14</f>
        <v>0</v>
      </c>
      <c r="P9" s="482">
        <f>transport!P14</f>
        <v>0</v>
      </c>
      <c r="Q9" s="481">
        <f>SUM(B9:P9)</f>
        <v>308163.32678518182</v>
      </c>
    </row>
    <row r="10" spans="1:17">
      <c r="A10" s="477" t="s">
        <v>554</v>
      </c>
      <c r="B10" s="478">
        <f>transport!B54</f>
        <v>0</v>
      </c>
      <c r="C10" s="478">
        <f>transport!C54</f>
        <v>0</v>
      </c>
      <c r="D10" s="478">
        <f>transport!D54</f>
        <v>0</v>
      </c>
      <c r="E10" s="478">
        <f>transport!E54</f>
        <v>0</v>
      </c>
      <c r="F10" s="478">
        <f>transport!F54</f>
        <v>0</v>
      </c>
      <c r="G10" s="478">
        <f>transport!G54</f>
        <v>1773.5628010000075</v>
      </c>
      <c r="H10" s="478">
        <f>transport!H54</f>
        <v>0</v>
      </c>
      <c r="I10" s="478">
        <f>transport!I54</f>
        <v>0</v>
      </c>
      <c r="J10" s="478">
        <f>transport!J54</f>
        <v>0</v>
      </c>
      <c r="K10" s="478">
        <f>transport!K54</f>
        <v>0</v>
      </c>
      <c r="L10" s="478">
        <f>transport!L54</f>
        <v>0</v>
      </c>
      <c r="M10" s="478">
        <f>transport!M54</f>
        <v>55.011950304089666</v>
      </c>
      <c r="N10" s="478">
        <f>transport!N54</f>
        <v>0</v>
      </c>
      <c r="O10" s="478">
        <f>transport!O54</f>
        <v>0</v>
      </c>
      <c r="P10" s="479">
        <f>transport!P54</f>
        <v>0</v>
      </c>
      <c r="Q10" s="477">
        <f t="shared" si="0"/>
        <v>1828.5747513040972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198771.40849101826</v>
      </c>
      <c r="C14" s="488">
        <f t="shared" ref="C14:Q14" ca="1" si="1">SUM(C4:C13)</f>
        <v>144773.35714285716</v>
      </c>
      <c r="D14" s="488">
        <f t="shared" ca="1" si="1"/>
        <v>187050.33429912999</v>
      </c>
      <c r="E14" s="488">
        <f t="shared" si="1"/>
        <v>19436.410490543338</v>
      </c>
      <c r="F14" s="488">
        <f t="shared" ca="1" si="1"/>
        <v>110822.73242798113</v>
      </c>
      <c r="G14" s="488">
        <f t="shared" si="1"/>
        <v>261408.35699497774</v>
      </c>
      <c r="H14" s="488">
        <f t="shared" si="1"/>
        <v>38390.680936334</v>
      </c>
      <c r="I14" s="488">
        <f t="shared" si="1"/>
        <v>0</v>
      </c>
      <c r="J14" s="488">
        <f t="shared" si="1"/>
        <v>3805.0157153691266</v>
      </c>
      <c r="K14" s="488">
        <f t="shared" si="1"/>
        <v>0</v>
      </c>
      <c r="L14" s="488">
        <f t="shared" ca="1" si="1"/>
        <v>0</v>
      </c>
      <c r="M14" s="488">
        <f t="shared" si="1"/>
        <v>9384.6517878458544</v>
      </c>
      <c r="N14" s="488">
        <f t="shared" ca="1" si="1"/>
        <v>50739.147490994488</v>
      </c>
      <c r="O14" s="488">
        <f t="shared" si="1"/>
        <v>520.59</v>
      </c>
      <c r="P14" s="489">
        <f t="shared" si="1"/>
        <v>1639.7333333333333</v>
      </c>
      <c r="Q14" s="489">
        <f t="shared" ca="1" si="1"/>
        <v>1026742.4191103844</v>
      </c>
    </row>
    <row r="16" spans="1:17">
      <c r="A16" s="491" t="s">
        <v>559</v>
      </c>
      <c r="B16" s="841">
        <f ca="1">huishoudens!B10</f>
        <v>0.17279526845759136</v>
      </c>
      <c r="C16" s="841">
        <f ca="1">huishoudens!C10</f>
        <v>0.23221384352901081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6551.0760144172555</v>
      </c>
      <c r="C21" s="478">
        <f t="shared" ref="C21:C30" ca="1" si="3">C4*$C$16</f>
        <v>0</v>
      </c>
      <c r="D21" s="478">
        <f t="shared" ref="D21:D30" si="4">D4*$D$16</f>
        <v>18040.860665373126</v>
      </c>
      <c r="E21" s="478">
        <f t="shared" ref="E21:E30" si="5">E4*$E$16</f>
        <v>2721.9434912370257</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27313.880171027409</v>
      </c>
    </row>
    <row r="22" spans="1:17">
      <c r="A22" s="477" t="s">
        <v>156</v>
      </c>
      <c r="B22" s="478">
        <f t="shared" ca="1" si="2"/>
        <v>10369.837463768825</v>
      </c>
      <c r="C22" s="478">
        <f t="shared" ca="1" si="3"/>
        <v>2985.6065596587105</v>
      </c>
      <c r="D22" s="478">
        <f t="shared" ca="1" si="4"/>
        <v>6530.8121582799249</v>
      </c>
      <c r="E22" s="478">
        <f t="shared" si="5"/>
        <v>205.79696747668112</v>
      </c>
      <c r="F22" s="478">
        <f t="shared" ca="1" si="6"/>
        <v>3448.9040037291211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23540.957152913263</v>
      </c>
    </row>
    <row r="23" spans="1:17">
      <c r="A23" s="477" t="s">
        <v>194</v>
      </c>
      <c r="B23" s="478">
        <f t="shared" ca="1" si="2"/>
        <v>247.65449863513135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247.65449863513135</v>
      </c>
    </row>
    <row r="24" spans="1:17">
      <c r="A24" s="477" t="s">
        <v>112</v>
      </c>
      <c r="B24" s="478">
        <f t="shared" ca="1" si="2"/>
        <v>3734.5273258082061</v>
      </c>
      <c r="C24" s="478">
        <f t="shared" ca="1" si="3"/>
        <v>30632.771143082318</v>
      </c>
      <c r="D24" s="478">
        <f t="shared" si="4"/>
        <v>0</v>
      </c>
      <c r="E24" s="478">
        <f t="shared" si="5"/>
        <v>126.50751735255464</v>
      </c>
      <c r="F24" s="478">
        <f t="shared" si="6"/>
        <v>20467.574691940667</v>
      </c>
      <c r="G24" s="478">
        <f t="shared" si="7"/>
        <v>0</v>
      </c>
      <c r="H24" s="478">
        <f t="shared" si="8"/>
        <v>0</v>
      </c>
      <c r="I24" s="478">
        <f t="shared" si="9"/>
        <v>0</v>
      </c>
      <c r="J24" s="478">
        <f t="shared" si="10"/>
        <v>1101.4342803742984</v>
      </c>
      <c r="K24" s="478">
        <f t="shared" si="11"/>
        <v>0</v>
      </c>
      <c r="L24" s="478">
        <f t="shared" si="12"/>
        <v>0</v>
      </c>
      <c r="M24" s="478">
        <f t="shared" si="13"/>
        <v>0</v>
      </c>
      <c r="N24" s="478">
        <f t="shared" si="14"/>
        <v>0</v>
      </c>
      <c r="O24" s="478">
        <f t="shared" si="15"/>
        <v>0</v>
      </c>
      <c r="P24" s="479">
        <f t="shared" si="16"/>
        <v>0</v>
      </c>
      <c r="Q24" s="477">
        <f t="shared" ca="1" si="17"/>
        <v>56062.814958558047</v>
      </c>
    </row>
    <row r="25" spans="1:17">
      <c r="A25" s="477" t="s">
        <v>638</v>
      </c>
      <c r="B25" s="478">
        <f t="shared" ca="1" si="2"/>
        <v>13433.015463442847</v>
      </c>
      <c r="C25" s="478">
        <f t="shared" ca="1" si="3"/>
        <v>0</v>
      </c>
      <c r="D25" s="478">
        <f t="shared" si="4"/>
        <v>13184.262347998016</v>
      </c>
      <c r="E25" s="478">
        <f t="shared" si="5"/>
        <v>1220.0679554793185</v>
      </c>
      <c r="F25" s="478">
        <f t="shared" si="6"/>
        <v>5673.1908626011764</v>
      </c>
      <c r="G25" s="478">
        <f t="shared" si="7"/>
        <v>0</v>
      </c>
      <c r="H25" s="478">
        <f t="shared" si="8"/>
        <v>0</v>
      </c>
      <c r="I25" s="478">
        <f t="shared" si="9"/>
        <v>0</v>
      </c>
      <c r="J25" s="478">
        <f t="shared" si="10"/>
        <v>245.54128286637237</v>
      </c>
      <c r="K25" s="478">
        <f t="shared" si="11"/>
        <v>0</v>
      </c>
      <c r="L25" s="478">
        <f t="shared" si="12"/>
        <v>0</v>
      </c>
      <c r="M25" s="478">
        <f t="shared" si="13"/>
        <v>0</v>
      </c>
      <c r="N25" s="478">
        <f t="shared" si="14"/>
        <v>0</v>
      </c>
      <c r="O25" s="478">
        <f t="shared" si="15"/>
        <v>0</v>
      </c>
      <c r="P25" s="479">
        <f t="shared" si="16"/>
        <v>0</v>
      </c>
      <c r="Q25" s="477">
        <f t="shared" ca="1" si="17"/>
        <v>33756.077912387736</v>
      </c>
    </row>
    <row r="26" spans="1:17" s="483" customFormat="1">
      <c r="A26" s="481" t="s">
        <v>564</v>
      </c>
      <c r="B26" s="835">
        <f t="shared" ca="1" si="2"/>
        <v>10.648125826790551</v>
      </c>
      <c r="C26" s="482">
        <f t="shared" ca="1" si="3"/>
        <v>0</v>
      </c>
      <c r="D26" s="482">
        <f t="shared" si="4"/>
        <v>28.232356773189572</v>
      </c>
      <c r="E26" s="482">
        <f t="shared" si="5"/>
        <v>137.74924980775847</v>
      </c>
      <c r="F26" s="482">
        <f t="shared" si="6"/>
        <v>0</v>
      </c>
      <c r="G26" s="482">
        <f t="shared" si="7"/>
        <v>69322.490049792061</v>
      </c>
      <c r="H26" s="482">
        <f t="shared" si="8"/>
        <v>9559.2795531471656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79058.399335346956</v>
      </c>
    </row>
    <row r="27" spans="1:17">
      <c r="A27" s="477" t="s">
        <v>554</v>
      </c>
      <c r="B27" s="478">
        <f t="shared" ca="1" si="2"/>
        <v>0</v>
      </c>
      <c r="C27" s="478">
        <f t="shared" ca="1" si="3"/>
        <v>0</v>
      </c>
      <c r="D27" s="478">
        <f t="shared" si="4"/>
        <v>0</v>
      </c>
      <c r="E27" s="478">
        <f t="shared" si="5"/>
        <v>0</v>
      </c>
      <c r="F27" s="478">
        <f t="shared" si="6"/>
        <v>0</v>
      </c>
      <c r="G27" s="478">
        <f t="shared" si="7"/>
        <v>473.54126786700203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473.54126786700203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34346.758891899051</v>
      </c>
      <c r="C31" s="488">
        <f t="shared" ca="1" si="18"/>
        <v>33618.377702741025</v>
      </c>
      <c r="D31" s="488">
        <f t="shared" ca="1" si="18"/>
        <v>37784.167528424252</v>
      </c>
      <c r="E31" s="488">
        <f t="shared" si="18"/>
        <v>4412.0651813533377</v>
      </c>
      <c r="F31" s="488">
        <f t="shared" ca="1" si="18"/>
        <v>29589.669558270962</v>
      </c>
      <c r="G31" s="488">
        <f t="shared" si="18"/>
        <v>69796.031317659057</v>
      </c>
      <c r="H31" s="488">
        <f t="shared" si="18"/>
        <v>9559.2795531471656</v>
      </c>
      <c r="I31" s="488">
        <f t="shared" si="18"/>
        <v>0</v>
      </c>
      <c r="J31" s="488">
        <f t="shared" si="18"/>
        <v>1346.9755632406707</v>
      </c>
      <c r="K31" s="488">
        <f t="shared" si="18"/>
        <v>0</v>
      </c>
      <c r="L31" s="488">
        <f t="shared" ca="1" si="18"/>
        <v>0</v>
      </c>
      <c r="M31" s="488">
        <f t="shared" si="18"/>
        <v>0</v>
      </c>
      <c r="N31" s="488">
        <f t="shared" ca="1" si="18"/>
        <v>0</v>
      </c>
      <c r="O31" s="488">
        <f t="shared" si="18"/>
        <v>0</v>
      </c>
      <c r="P31" s="489">
        <f t="shared" si="18"/>
        <v>0</v>
      </c>
      <c r="Q31" s="489">
        <f t="shared" ca="1" si="18"/>
        <v>220453.32529673554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0.17279526845759136</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0.17279526845759136</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0.17279526845759136</v>
      </c>
      <c r="C29" s="529">
        <f ca="1">'EF ele_warmte'!B22</f>
        <v>0.23221384352901081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2018-06-27T09:41:04Z</dcterms:modified>
</cp:coreProperties>
</file>