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J15"/>
  <c r="F16"/>
  <c r="L16"/>
  <c r="L18" s="1"/>
  <c r="M13" i="14" s="1"/>
  <c r="C13" i="15"/>
  <c r="C16" s="1"/>
  <c r="D10" i="14" s="1"/>
  <c r="L6" i="17"/>
  <c r="L5" s="1"/>
  <c r="B8" i="9"/>
  <c r="I8" i="18"/>
  <c r="J68" i="14" s="1"/>
  <c r="I14" i="15"/>
  <c r="I16" s="1"/>
  <c r="J10" i="14" s="1"/>
  <c r="J15" s="1"/>
  <c r="B13" i="16"/>
  <c r="C35"/>
  <c r="E9" i="14"/>
  <c r="D14" i="15"/>
  <c r="P22" i="16"/>
  <c r="Q39" i="14" s="1"/>
  <c r="P18" i="16"/>
  <c r="N6" i="17"/>
  <c r="N5" s="1"/>
  <c r="J8"/>
  <c r="K22" i="14" s="1"/>
  <c r="F8" i="17"/>
  <c r="N13" i="15"/>
  <c r="L13"/>
  <c r="L16" s="1"/>
  <c r="F13"/>
  <c r="D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8" i="48" l="1"/>
  <c r="L25" s="1"/>
  <c r="I20" i="15"/>
  <c r="J36" i="14" s="1"/>
  <c r="J12" i="17"/>
  <c r="K48" i="14" s="1"/>
  <c r="J7" i="48"/>
  <c r="J24" s="1"/>
  <c r="I5"/>
  <c r="I22" s="1"/>
  <c r="I31" s="1"/>
  <c r="L22" i="16"/>
  <c r="M39" i="14" s="1"/>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D9" i="48"/>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H14" i="22" l="1"/>
  <c r="P41" i="14"/>
  <c r="P53" s="1"/>
  <c r="P13"/>
  <c r="I14" i="48"/>
  <c r="D8"/>
  <c r="D25" s="1"/>
  <c r="E20" i="15"/>
  <c r="F36" i="14"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E5" i="48"/>
  <c r="E22" s="1"/>
  <c r="P14"/>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L31" i="48" l="1"/>
  <c r="M16" i="18"/>
  <c r="M19" s="1"/>
  <c r="P55" i="14"/>
  <c r="N20"/>
  <c r="N23" s="1"/>
  <c r="J9" i="18"/>
  <c r="M7"/>
  <c r="M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F8" i="48"/>
  <c r="Q4"/>
  <c r="N22"/>
  <c r="R11" i="14"/>
  <c r="J21" i="48"/>
  <c r="R10" i="14"/>
  <c r="C20" i="16" l="1"/>
  <c r="C22" s="1"/>
  <c r="D39" i="14" s="1"/>
  <c r="C29" i="20"/>
  <c r="C18" i="15"/>
  <c r="C20" s="1"/>
  <c r="D36" i="14" s="1"/>
  <c r="C10" i="13"/>
  <c r="C16" i="48" s="1"/>
  <c r="C30" s="1"/>
  <c r="C16" i="22"/>
  <c r="C10" i="17"/>
  <c r="C12" s="1"/>
  <c r="D48" i="14" s="1"/>
  <c r="C56" i="22"/>
  <c r="C58" s="1"/>
  <c r="D44" i="14" s="1"/>
  <c r="D46" s="1"/>
  <c r="C17" i="49"/>
  <c r="C17" i="19"/>
  <c r="C19" s="1"/>
  <c r="D35" i="14" s="1"/>
  <c r="F22" i="16"/>
  <c r="G39" i="14" s="1"/>
  <c r="G41" s="1"/>
  <c r="G53" s="1"/>
  <c r="G55" s="1"/>
  <c r="O69" s="1"/>
  <c r="B9" i="6" s="1"/>
  <c r="B12" s="1"/>
  <c r="N25" i="48"/>
  <c r="N31" s="1"/>
  <c r="N14"/>
  <c r="E25"/>
  <c r="E31" s="1"/>
  <c r="E14"/>
  <c r="K13" i="14"/>
  <c r="K15" s="1"/>
  <c r="K23" s="1"/>
  <c r="K55" s="1"/>
  <c r="H55"/>
  <c r="E55"/>
  <c r="C78"/>
  <c r="C81" s="1"/>
  <c r="J14" i="48"/>
  <c r="J31"/>
  <c r="Q8"/>
  <c r="Q14" s="1"/>
  <c r="R19" i="14"/>
  <c r="R20" s="1"/>
  <c r="H14" i="48"/>
  <c r="G31"/>
  <c r="H26"/>
  <c r="H31" s="1"/>
  <c r="F55" i="14"/>
  <c r="O53"/>
  <c r="M53"/>
  <c r="M55" s="1"/>
  <c r="C12" i="13"/>
  <c r="D37" i="14" s="1"/>
  <c r="C27" i="48"/>
  <c r="C28"/>
  <c r="C22"/>
  <c r="C25"/>
  <c r="C21"/>
  <c r="R13" i="14"/>
  <c r="R15" s="1"/>
  <c r="F25" i="48"/>
  <c r="F31" s="1"/>
  <c r="F14"/>
  <c r="C29" l="1"/>
  <c r="D41" i="14"/>
  <c r="C26" i="48"/>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<sst xmlns="http://schemas.openxmlformats.org/spreadsheetml/2006/main" count="1942" uniqueCount="828">
  <si>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</si>
  <si>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</si>
  <si>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</si>
  <si>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</si>
  <si>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</si>
  <si>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</si>
  <si>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</si>
  <si>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</si>
  <si>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</si>
  <si>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</si>
  <si>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</si>
  <si>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</si>
  <si>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</si>
  <si>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</si>
  <si>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</si>
  <si>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</si>
  <si>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</si>
  <si>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</si>
  <si>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</si>
  <si>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</si>
  <si>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</si>
  <si>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</si>
  <si>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</si>
  <si>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</si>
  <si>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</si>
  <si>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</si>
  <si>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</si>
  <si>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</si>
  <si>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</si>
  <si>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</si>
  <si>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</si>
  <si>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</si>
  <si>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</si>
  <si>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</si>
  <si>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</si>
  <si>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</si>
  <si>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</si>
  <si>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</si>
  <si>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</si>
  <si>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</si>
  <si>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</si>
  <si>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</si>
  <si>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</si>
  <si>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</si>
  <si>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</si>
  <si>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</si>
  <si>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</si>
  <si>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</si>
  <si>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</si>
  <si>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</si>
  <si>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</si>
  <si>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</si>
  <si>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</si>
  <si>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</si>
  <si>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</si>
  <si>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</si>
  <si>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</si>
  <si>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</si>
  <si>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</si>
  <si>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</si>
  <si>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</si>
  <si>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</si>
  <si>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</si>
  <si>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</si>
  <si>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</si>
  <si>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</si>
  <si>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</si>
  <si>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</si>
  <si>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</si>
  <si>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</si>
  <si>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</si>
  <si>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</si>
  <si>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</si>
  <si>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</si>
  <si>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</si>
  <si>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</si>
  <si>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</si>
  <si>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</si>
  <si>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</si>
  <si>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</si>
  <si>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</si>
  <si>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</si>
  <si>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</si>
  <si>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</si>
  <si>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</si>
  <si>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</si>
  <si>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</si>
  <si>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</si>
  <si>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</si>
  <si>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</si>
  <si>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</si>
  <si>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</si>
  <si>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</si>
  <si>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</si>
  <si>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</si>
  <si>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</si>
  <si>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</si>
  <si>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</si>
  <si>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</si>
  <si>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</si>
  <si>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</si>
  <si>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</si>
  <si>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</si>
  <si>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</si>
  <si>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</si>
  <si>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</si>
  <si>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</si>
  <si>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</si>
  <si>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</si>
  <si>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</si>
  <si>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</si>
  <si>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</si>
  <si>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</si>
  <si>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</si>
  <si>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</si>
  <si>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</si>
  <si>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</si>
  <si>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</si>
  <si>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</si>
  <si>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</si>
  <si>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</si>
  <si>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</si>
  <si>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</si>
  <si>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</si>
  <si>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</si>
  <si>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</si>
  <si>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</si>
  <si>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</si>
  <si>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</si>
  <si>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</si>
  <si>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</si>
  <si>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</si>
  <si>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</si>
  <si>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</si>
  <si>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</si>
  <si>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</si>
  <si>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</si>
  <si>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</si>
  <si>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</si>
  <si>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</si>
  <si>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</si>
  <si>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</si>
  <si>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</si>
  <si>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</si>
  <si>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</si>
  <si>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</si>
  <si>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</si>
  <si>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</si>
  <si>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</si>
  <si>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</si>
  <si>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</si>
  <si>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</si>
  <si>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</si>
  <si>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</si>
  <si>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</si>
  <si>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</si>
  <si>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</si>
  <si>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</si>
  <si>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</si>
  <si>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</si>
  <si>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</si>
  <si>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</si>
  <si>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</si>
  <si>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</si>
  <si>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</si>
  <si>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</si>
  <si>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</si>
  <si>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</si>
  <si>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</si>
  <si>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</si>
  <si>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</si>
  <si>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</si>
  <si>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</si>
  <si>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</si>
  <si>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</si>
  <si>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</si>
  <si>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</si>
  <si>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</si>
  <si>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</si>
  <si>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</si>
  <si>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</si>
  <si>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</si>
  <si>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</si>
  <si>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</si>
  <si>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</si>
  <si>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</si>
  <si>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</si>
  <si>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</si>
  <si>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</si>
  <si>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</si>
  <si>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</si>
  <si>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</si>
  <si>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</si>
  <si>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</si>
  <si>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</si>
  <si>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</si>
  <si>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</si>
  <si>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</si>
  <si>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</si>
  <si>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</si>
  <si>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</si>
  <si>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</si>
  <si>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</si>
  <si>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</si>
  <si>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</si>
  <si>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</si>
  <si>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</si>
  <si>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</si>
  <si>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</si>
  <si>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</si>
  <si>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</si>
  <si>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</si>
  <si>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</si>
  <si>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</si>
  <si>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</si>
  <si>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</si>
  <si>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</si>
  <si>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</si>
  <si>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</si>
  <si>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</si>
  <si>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</si>
  <si>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</si>
  <si>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</si>
  <si>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</si>
  <si>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</si>
  <si>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</si>
  <si>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</si>
  <si>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</si>
  <si>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</si>
  <si>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</si>
  <si>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</si>
  <si>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</si>
  <si>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</si>
  <si>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</si>
  <si>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</si>
  <si>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</si>
  <si>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</si>
  <si>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</si>
  <si>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</si>
  <si>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</si>
  <si>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</si>
  <si>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</si>
  <si>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</si>
  <si>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</si>
  <si>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</si>
  <si>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</si>
  <si>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</si>
  <si>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</si>
  <si>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</si>
  <si>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</si>
  <si>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</si>
  <si>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</si>
  <si>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</si>
  <si>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</si>
  <si>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</si>
  <si>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</si>
  <si>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</si>
  <si>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</si>
  <si>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</si>
  <si>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</si>
  <si>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</si>
  <si>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</si>
  <si>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</si>
  <si>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</si>
  <si>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</si>
  <si>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</si>
  <si>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</si>
  <si>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</si>
  <si>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</si>
  <si>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</si>
  <si>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</si>
  <si>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</si>
  <si>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</si>
  <si>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</si>
  <si>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</si>
  <si>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</si>
  <si>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</si>
  <si>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</si>
  <si>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</si>
  <si>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</si>
  <si>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</si>
  <si>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</si>
  <si>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</si>
  <si>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</si>
  <si>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</si>
  <si>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</si>
  <si>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</si>
  <si>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</si>
  <si>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</si>
  <si>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</si>
  <si>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</si>
  <si>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</si>
  <si>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</si>
  <si>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</si>
  <si>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</si>
  <si>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</si>
  <si>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</si>
  <si>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</si>
  <si>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</si>
  <si>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</si>
  <si>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</si>
  <si>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</si>
  <si>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</si>
  <si>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</si>
  <si>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</si>
  <si>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</si>
  <si>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</si>
  <si>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</si>
  <si>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</si>
  <si>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</si>
  <si>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</si>
  <si>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</si>
  <si>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</si>
  <si>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</si>
  <si>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</si>
  <si>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</si>
  <si>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</si>
  <si>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</si>
  <si>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</si>
  <si>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</si>
  <si>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</si>
  <si>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</si>
  <si>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</si>
  <si>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</si>
  <si>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</si>
  <si>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</si>
  <si>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</si>
  <si>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</si>
  <si>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</si>
  <si>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</si>
  <si>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</si>
  <si>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</si>
  <si>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</si>
  <si>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</si>
  <si>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</si>
  <si>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</si>
  <si>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</si>
  <si>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</si>
  <si>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</si>
  <si>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</si>
  <si>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</si>
  <si>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</si>
  <si>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</si>
  <si>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</si>
  <si>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</si>
  <si>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</si>
  <si>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</si>
  <si>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</si>
  <si>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</si>
  <si>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</si>
  <si>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</si>
  <si>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</si>
  <si>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</si>
  <si>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</si>
  <si>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</si>
  <si>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</si>
  <si>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</si>
  <si>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</si>
  <si>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</si>
  <si>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</si>
  <si>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</si>
  <si>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</si>
  <si>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</si>
  <si>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</si>
  <si>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</si>
  <si>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</si>
  <si>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</si>
  <si>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</si>
  <si>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</si>
  <si>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</si>
  <si>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</si>
  <si>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</si>
  <si>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</si>
  <si>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</si>
  <si>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</si>
  <si>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</si>
  <si>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</si>
  <si>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</si>
  <si>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</si>
  <si>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</si>
  <si>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</si>
  <si>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</si>
  <si>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</si>
  <si>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</si>
  <si>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</si>
  <si>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</si>
  <si>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</si>
  <si>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</si>
  <si>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</si>
  <si>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</si>
  <si>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</si>
  <si>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</si>
  <si>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</si>
  <si>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</si>
  <si>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</si>
  <si>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</si>
  <si>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</si>
  <si>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</si>
  <si>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</si>
  <si>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</si>
  <si>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</si>
  <si>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</si>
  <si>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</si>
  <si>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</si>
  <si>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</si>
  <si>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</si>
  <si>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</si>
  <si>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</si>
  <si>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</si>
  <si>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</si>
  <si>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</si>
  <si>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</si>
  <si>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</si>
  <si>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</si>
  <si>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</si>
  <si>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</si>
  <si>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</si>
  <si>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</si>
  <si>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</si>
  <si>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</si>
  <si>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</si>
  <si>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</si>
  <si>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</si>
  <si>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</si>
  <si>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</si>
  <si>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</si>
  <si>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</si>
  <si>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</si>
  <si>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</si>
  <si>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</si>
  <si>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</si>
  <si>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</si>
  <si>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</si>
  <si>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</si>
  <si>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</si>
  <si>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</si>
  <si>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</si>
  <si>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</si>
  <si>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</si>
  <si>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</si>
  <si>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</si>
  <si>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</si>
  <si>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</si>
  <si>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</si>
  <si>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</si>
  <si>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</si>
  <si>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</si>
  <si>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</si>
  <si>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</si>
  <si>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</si>
  <si>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</si>
  <si>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</si>
  <si>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</si>
  <si>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</si>
  <si>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</si>
  <si>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</si>
  <si>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</si>
  <si>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</si>
  <si>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</si>
  <si>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</si>
  <si>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</si>
  <si>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</si>
  <si>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</si>
  <si>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</si>
  <si>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</si>
  <si>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</si>
  <si>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</si>
  <si>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</si>
  <si>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</si>
  <si>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</si>
  <si>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</si>
  <si>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</si>
  <si>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</si>
  <si>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</si>
  <si>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</si>
  <si>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</si>
  <si>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</si>
  <si>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</si>
  <si>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</si>
  <si>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</si>
  <si>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</si>
  <si>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</si>
  <si>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</si>
  <si>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</si>
  <si>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</si>
  <si>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</si>
  <si>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</si>
  <si>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</si>
  <si>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</si>
  <si>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</si>
  <si>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</si>
  <si>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</si>
  <si>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</si>
  <si>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</si>
  <si>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</si>
  <si>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</si>
  <si>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</si>
  <si>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</si>
  <si>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</si>
  <si>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</si>
  <si>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</si>
  <si>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</si>
  <si>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</si>
  <si>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</si>
  <si>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</si>
  <si>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</si>
  <si>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</si>
  <si>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</si>
  <si>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</si>
  <si>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</si>
  <si>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</si>
  <si>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</si>
  <si>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</si>
  <si>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</si>
  <si>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</si>
  <si>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</si>
  <si>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</si>
  <si>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</si>
  <si>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</si>
  <si>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</si>
  <si>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</si>
  <si>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</si>
  <si>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</si>
  <si>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</si>
  <si>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</si>
  <si>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</si>
  <si>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</si>
  <si>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</si>
  <si>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</si>
  <si>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</si>
  <si>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</si>
  <si>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</si>
  <si>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</si>
  <si>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</si>
  <si>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</si>
  <si>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</si>
  <si>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</si>
  <si>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</si>
  <si>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</si>
  <si>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</si>
  <si>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</si>
  <si>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</si>
  <si>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</si>
  <si>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</si>
  <si>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</si>
  <si>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</si>
  <si>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</si>
  <si>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</si>
  <si>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</si>
  <si>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</si>
  <si>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</si>
  <si>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</si>
  <si>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</si>
  <si>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</si>
  <si>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</si>
  <si>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</si>
  <si>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</si>
  <si>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</si>
  <si>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</si>
  <si>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</si>
  <si>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</si>
  <si>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</si>
  <si>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</si>
  <si>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</si>
  <si>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</si>
  <si>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</si>
  <si>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</si>
  <si>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</si>
  <si>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</si>
  <si>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</si>
  <si>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</si>
  <si>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</si>
  <si>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</si>
  <si>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</si>
  <si>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</si>
  <si>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</si>
  <si>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</si>
  <si>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</si>
  <si>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</si>
  <si>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</si>
  <si>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</si>
  <si>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</si>
  <si>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</si>
  <si>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</si>
  <si>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</si>
  <si>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</si>
  <si>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</si>
  <si>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</si>
  <si>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</si>
  <si>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</si>
  <si>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</si>
  <si>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</si>
  <si>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</si>
  <si>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</si>
  <si>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</si>
  <si>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</si>
  <si>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</si>
  <si>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</si>
  <si>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</si>
  <si>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</si>
  <si>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</si>
  <si>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</si>
  <si>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</si>
  <si>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</si>
  <si>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</si>
  <si>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</si>
  <si>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</si>
  <si>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</si>
  <si>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</si>
  <si>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</si>
  <si>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</si>
  <si>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</si>
  <si>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</si>
  <si>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</si>
  <si>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</si>
  <si>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</si>
  <si>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</si>
  <si>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</si>
  <si>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</si>
  <si>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</si>
  <si>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</si>
  <si>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</si>
  <si>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</si>
  <si>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</si>
  <si>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</si>
  <si>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</si>
  <si>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</si>
  <si>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</si>
  <si>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</si>
  <si>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</si>
  <si>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</si>
  <si>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</si>
  <si>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</si>
  <si>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</si>
  <si>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</si>
  <si>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</si>
  <si>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</si>
  <si>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</si>
  <si>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</si>
  <si>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</si>
  <si>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</si>
  <si>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</si>
  <si>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</si>
  <si>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</si>
  <si>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</si>
  <si>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</si>
  <si>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</si>
  <si>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</si>
  <si>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</si>
  <si>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</si>
  <si>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</si>
  <si>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</si>
  <si>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</si>
  <si>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</si>
  <si>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</si>
  <si>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</si>
  <si>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</si>
  <si>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</si>
  <si>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</si>
  <si>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</si>
  <si>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</si>
  <si>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</si>
  <si>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</si>
  <si>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</si>
  <si>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</si>
  <si>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</si>
  <si>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</si>
  <si>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</si>
  <si>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</si>
  <si>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</si>
  <si>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</si>
  <si>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</si>
  <si>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</si>
  <si>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</si>
  <si>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</si>
  <si>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</si>
  <si>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</si>
  <si>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</si>
  <si>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</si>
  <si>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</si>
  <si>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</si>
  <si>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</si>
  <si>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</si>
  <si>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</si>
  <si>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</si>
  <si>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</si>
  <si>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</si>
  <si>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</si>
  <si>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</si>
  <si>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</si>
  <si>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</si>
  <si>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</si>
  <si>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</si>
  <si>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</si>
  <si>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</si>
  <si>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</si>
  <si>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</si>
  <si>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</si>
  <si>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</si>
  <si>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</si>
  <si>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</si>
  <si>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</si>
  <si>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</si>
  <si>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</si>
  <si>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</si>
  <si>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</si>
  <si>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</si>
  <si>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</si>
  <si>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</si>
  <si>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</si>
  <si>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</si>
  <si>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</si>
  <si>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</si>
  <si>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</si>
  <si>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</si>
  <si>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</si>
  <si>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</si>
  <si>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</si>
  <si>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</si>
  <si>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</si>
  <si>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</si>
  <si>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</si>
  <si>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</si>
  <si>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</si>
  <si>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</si>
  <si>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</si>
  <si>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</si>
  <si>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</si>
  <si>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</si>
  <si>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</si>
  <si>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</si>
  <si>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</si>
  <si>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</si>
  <si>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</si>
  <si>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</si>
  <si>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</si>
  <si>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</si>
  <si>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</si>
  <si>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</si>
  <si>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</si>
  <si>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</si>
  <si>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</si>
  <si>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</si>
  <si>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</si>
  <si>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</si>
  <si>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</si>
  <si>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</si>
  <si>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</si>
  <si>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</si>
  <si>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</si>
  <si>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</si>
  <si>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</si>
  <si>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</si>
  <si>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</si>
  <si>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</si>
  <si>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</si>
  <si>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</si>
  <si>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</si>
  <si>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</si>
  <si>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</si>
  <si>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</si>
  <si>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</si>
  <si>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</si>
  <si>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</si>
  <si>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</si>
  <si>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</si>
  <si>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</si>
  <si>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</si>
  <si>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</si>
  <si>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</si>
  <si>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</si>
  <si>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</si>
  <si>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</si>
  <si>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</si>
  <si>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</si>
  <si>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</si>
  <si>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</si>
  <si>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</si>
  <si>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</si>
  <si>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</si>
  <si>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</si>
  <si>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</si>
  <si>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</si>
  <si>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</si>
  <si>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</si>
  <si>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</si>
  <si>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</si>
  <si>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</si>
  <si>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</si>
  <si>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</si>
  <si>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</si>
  <si>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</si>
  <si>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</si>
  <si>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</si>
  <si>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</si>
  <si>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</si>
  <si>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</si>
  <si>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</si>
  <si>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</si>
  <si>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</si>
  <si>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</si>
  <si>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</si>
  <si>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</si>
  <si>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</si>
  <si>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</si>
  <si>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</si>
  <si>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</si>
  <si>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</si>
  <si>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</si>
  <si>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</si>
  <si>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13012</t>
  </si>
  <si>
    <t>HERENTHOUT</t>
  </si>
  <si>
    <t>Paarden&amp;pony's 200 - 600 kg</t>
  </si>
  <si>
    <t>Paarden&amp;pony's &lt; 200 kg</t>
  </si>
  <si>
    <t>referentietaak LNE (2017); Jaarverslag De Lijn (2015)</t>
  </si>
  <si>
    <t>op basis van VEA (maart 2018) en Inventaris Hernieuwbare Energiebronnen (juni 2018)</t>
  </si>
  <si>
    <t>VEA (januari 2017)</t>
  </si>
  <si>
    <t>VEA (juni 2018)</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</si>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</sst>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71214.842695580897</c:v>
                </c:pt>
                <c:pt idx="1">
                  <c:v>23093.966351919262</c:v>
                </c:pt>
                <c:pt idx="2">
                  <c:v>421.92700000000002</c:v>
                </c:pt>
                <c:pt idx="3">
                  <c:v>18950.608724668346</c:v>
                </c:pt>
                <c:pt idx="4">
                  <c:v>8814.3474065811733</c:v>
                </c:pt>
                <c:pt idx="5">
                  <c:v>40562.075321924938</c:v>
                </c:pt>
                <c:pt idx="6">
                  <c:v>463.40366679187275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71214.842695580897</c:v>
                </c:pt>
                <c:pt idx="1">
                  <c:v>23093.966351919262</c:v>
                </c:pt>
                <c:pt idx="2">
                  <c:v>421.92700000000002</c:v>
                </c:pt>
                <c:pt idx="3">
                  <c:v>18950.608724668346</c:v>
                </c:pt>
                <c:pt idx="4">
                  <c:v>8814.3474065811733</c:v>
                </c:pt>
                <c:pt idx="5">
                  <c:v>40562.075321924938</c:v>
                </c:pt>
                <c:pt idx="6">
                  <c:v>463.40366679187275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13172.10828138065</c:v>
                </c:pt>
                <c:pt idx="1">
                  <c:v>4685.337770367154</c:v>
                </c:pt>
                <c:pt idx="2">
                  <c:v>88.343431259153462</c:v>
                </c:pt>
                <c:pt idx="3">
                  <c:v>4622.383446429415</c:v>
                </c:pt>
                <c:pt idx="4">
                  <c:v>1721.0507330081873</c:v>
                </c:pt>
                <c:pt idx="5">
                  <c:v>10362.8516052171</c:v>
                </c:pt>
                <c:pt idx="6">
                  <c:v>120.0064475080065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46624"/>
      </c:barChart>
      <c:catAx>
        <c:axId val="183393280"/>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13172.10828138065</c:v>
                </c:pt>
                <c:pt idx="1">
                  <c:v>4685.337770367154</c:v>
                </c:pt>
                <c:pt idx="2">
                  <c:v>88.343431259153462</c:v>
                </c:pt>
                <c:pt idx="3">
                  <c:v>4622.383446429415</c:v>
                </c:pt>
                <c:pt idx="4">
                  <c:v>1721.0507330081873</c:v>
                </c:pt>
                <c:pt idx="5">
                  <c:v>10362.8516052171</c:v>
                </c:pt>
                <c:pt idx="6">
                  <c:v>120.0064475080065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13012</v>
      </c>
      <c r="B6" s="415"/>
      <c r="C6" s="416"/>
    </row>
    <row r="7" spans="1:7" s="413" customFormat="1" ht="15.75" customHeight="1">
      <c r="A7" s="417" t="str">
        <f>txtMunicipality</f>
        <v>HERENTHOUT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13012</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3695</v>
      </c>
      <c r="C9" s="342">
        <v>3974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1208.8499999999999</v>
      </c>
    </row>
    <row r="15" spans="1:6">
      <c r="A15" s="348" t="s">
        <v>184</v>
      </c>
      <c r="B15" s="334">
        <v>17</v>
      </c>
    </row>
    <row r="16" spans="1:6">
      <c r="A16" s="348" t="s">
        <v>6</v>
      </c>
      <c r="B16" s="334">
        <v>990</v>
      </c>
    </row>
    <row r="17" spans="1:6">
      <c r="A17" s="348" t="s">
        <v>7</v>
      </c>
      <c r="B17" s="334">
        <v>47</v>
      </c>
    </row>
    <row r="18" spans="1:6">
      <c r="A18" s="348" t="s">
        <v>8</v>
      </c>
      <c r="B18" s="334">
        <v>548</v>
      </c>
    </row>
    <row r="19" spans="1:6">
      <c r="A19" s="348" t="s">
        <v>9</v>
      </c>
      <c r="B19" s="334">
        <v>553</v>
      </c>
    </row>
    <row r="20" spans="1:6">
      <c r="A20" s="348" t="s">
        <v>10</v>
      </c>
      <c r="B20" s="334">
        <v>274</v>
      </c>
    </row>
    <row r="21" spans="1:6">
      <c r="A21" s="348" t="s">
        <v>11</v>
      </c>
      <c r="B21" s="334">
        <v>2649</v>
      </c>
    </row>
    <row r="22" spans="1:6">
      <c r="A22" s="348" t="s">
        <v>12</v>
      </c>
      <c r="B22" s="334">
        <v>7425</v>
      </c>
    </row>
    <row r="23" spans="1:6">
      <c r="A23" s="348" t="s">
        <v>13</v>
      </c>
      <c r="B23" s="334">
        <v>145</v>
      </c>
    </row>
    <row r="24" spans="1:6">
      <c r="A24" s="348" t="s">
        <v>14</v>
      </c>
      <c r="B24" s="334">
        <v>11</v>
      </c>
    </row>
    <row r="25" spans="1:6">
      <c r="A25" s="348" t="s">
        <v>15</v>
      </c>
      <c r="B25" s="334">
        <v>849</v>
      </c>
    </row>
    <row r="26" spans="1:6">
      <c r="A26" s="348" t="s">
        <v>16</v>
      </c>
      <c r="B26" s="334">
        <v>51</v>
      </c>
    </row>
    <row r="27" spans="1:6">
      <c r="A27" s="348" t="s">
        <v>17</v>
      </c>
      <c r="B27" s="334">
        <v>9</v>
      </c>
    </row>
    <row r="28" spans="1:6" s="356" customFormat="1">
      <c r="A28" s="355" t="s">
        <v>18</v>
      </c>
      <c r="B28" s="355">
        <v>5</v>
      </c>
    </row>
    <row r="29" spans="1:6">
      <c r="A29" s="355" t="s">
        <v>812</v>
      </c>
      <c r="B29" s="355">
        <v>133</v>
      </c>
      <c r="C29" s="356"/>
      <c r="D29" s="356"/>
      <c r="E29" s="356"/>
      <c r="F29" s="356"/>
    </row>
    <row r="30" spans="1:6">
      <c r="A30" s="355" t="s">
        <v>813</v>
      </c>
      <c r="B30" s="341">
        <v>30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122519.03232</v>
      </c>
      <c r="E38" s="334">
        <v>2</v>
      </c>
      <c r="F38" s="334">
        <v>48814.119205000003</v>
      </c>
    </row>
    <row r="39" spans="1:6">
      <c r="A39" s="348" t="s">
        <v>30</v>
      </c>
      <c r="B39" s="348" t="s">
        <v>31</v>
      </c>
      <c r="C39" s="334">
        <v>2841</v>
      </c>
      <c r="D39" s="334">
        <v>46014102.627999999</v>
      </c>
      <c r="E39" s="334">
        <v>3618</v>
      </c>
      <c r="F39" s="334">
        <v>12813323.507999999</v>
      </c>
    </row>
    <row r="40" spans="1:6">
      <c r="A40" s="348" t="s">
        <v>30</v>
      </c>
      <c r="B40" s="348" t="s">
        <v>29</v>
      </c>
      <c r="C40" s="334">
        <v>0</v>
      </c>
      <c r="D40" s="334">
        <v>0</v>
      </c>
      <c r="E40" s="334">
        <v>0</v>
      </c>
      <c r="F40" s="334">
        <v>0</v>
      </c>
    </row>
    <row r="41" spans="1:6">
      <c r="A41" s="348" t="s">
        <v>32</v>
      </c>
      <c r="B41" s="348" t="s">
        <v>33</v>
      </c>
      <c r="C41" s="334">
        <v>18</v>
      </c>
      <c r="D41" s="334">
        <v>478571.11047999997</v>
      </c>
      <c r="E41" s="334">
        <v>54</v>
      </c>
      <c r="F41" s="334">
        <v>561479.68140999996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284599.25993</v>
      </c>
      <c r="E44" s="334">
        <v>4</v>
      </c>
      <c r="F44" s="334">
        <v>220551.41162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1237948.2585</v>
      </c>
      <c r="E48" s="334">
        <v>24</v>
      </c>
      <c r="F48" s="334">
        <v>3185450.7269000001</v>
      </c>
    </row>
    <row r="49" spans="1:6">
      <c r="A49" s="348" t="s">
        <v>32</v>
      </c>
      <c r="B49" s="348" t="s">
        <v>40</v>
      </c>
      <c r="C49" s="334">
        <v>0</v>
      </c>
      <c r="D49" s="334">
        <v>0</v>
      </c>
      <c r="E49" s="334">
        <v>0</v>
      </c>
      <c r="F49" s="334">
        <v>0</v>
      </c>
    </row>
    <row r="50" spans="1:6">
      <c r="A50" s="348" t="s">
        <v>32</v>
      </c>
      <c r="B50" s="348" t="s">
        <v>41</v>
      </c>
      <c r="C50" s="334">
        <v>5</v>
      </c>
      <c r="D50" s="334">
        <v>99878.627924</v>
      </c>
      <c r="E50" s="334">
        <v>5</v>
      </c>
      <c r="F50" s="334">
        <v>307222.73832</v>
      </c>
    </row>
    <row r="51" spans="1:6">
      <c r="A51" s="348" t="s">
        <v>42</v>
      </c>
      <c r="B51" s="348" t="s">
        <v>43</v>
      </c>
      <c r="C51" s="334">
        <v>3</v>
      </c>
      <c r="D51" s="334">
        <v>128464.21311</v>
      </c>
      <c r="E51" s="334">
        <v>31</v>
      </c>
      <c r="F51" s="334">
        <v>748275.64810999995</v>
      </c>
    </row>
    <row r="52" spans="1:6">
      <c r="A52" s="348" t="s">
        <v>42</v>
      </c>
      <c r="B52" s="348" t="s">
        <v>29</v>
      </c>
      <c r="C52" s="334">
        <v>3</v>
      </c>
      <c r="D52" s="334">
        <v>26660677.557</v>
      </c>
      <c r="E52" s="334">
        <v>10</v>
      </c>
      <c r="F52" s="334">
        <v>495981.50292</v>
      </c>
    </row>
    <row r="53" spans="1:6">
      <c r="A53" s="348" t="s">
        <v>44</v>
      </c>
      <c r="B53" s="348" t="s">
        <v>45</v>
      </c>
      <c r="C53" s="334">
        <v>47</v>
      </c>
      <c r="D53" s="334">
        <v>883990.93111</v>
      </c>
      <c r="E53" s="334">
        <v>103</v>
      </c>
      <c r="F53" s="334">
        <v>284857.47206</v>
      </c>
    </row>
    <row r="54" spans="1:6">
      <c r="A54" s="348" t="s">
        <v>46</v>
      </c>
      <c r="B54" s="348" t="s">
        <v>47</v>
      </c>
      <c r="C54" s="334">
        <v>0</v>
      </c>
      <c r="D54" s="334">
        <v>0</v>
      </c>
      <c r="E54" s="334">
        <v>1</v>
      </c>
      <c r="F54" s="334">
        <v>421927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2499043.2801999999</v>
      </c>
      <c r="E57" s="334">
        <v>61</v>
      </c>
      <c r="F57" s="334">
        <v>954115.56464999996</v>
      </c>
    </row>
    <row r="58" spans="1:6">
      <c r="A58" s="348" t="s">
        <v>49</v>
      </c>
      <c r="B58" s="348" t="s">
        <v>51</v>
      </c>
      <c r="C58" s="334">
        <v>9</v>
      </c>
      <c r="D58" s="334">
        <v>324784.31235999998</v>
      </c>
      <c r="E58" s="334">
        <v>10</v>
      </c>
      <c r="F58" s="334">
        <v>50250.973075000002</v>
      </c>
    </row>
    <row r="59" spans="1:6">
      <c r="A59" s="348" t="s">
        <v>49</v>
      </c>
      <c r="B59" s="348" t="s">
        <v>52</v>
      </c>
      <c r="C59" s="334">
        <v>46</v>
      </c>
      <c r="D59" s="334">
        <v>1632376.2174</v>
      </c>
      <c r="E59" s="334">
        <v>82</v>
      </c>
      <c r="F59" s="334">
        <v>3239107.4037000001</v>
      </c>
    </row>
    <row r="60" spans="1:6">
      <c r="A60" s="348" t="s">
        <v>49</v>
      </c>
      <c r="B60" s="348" t="s">
        <v>53</v>
      </c>
      <c r="C60" s="334">
        <v>31</v>
      </c>
      <c r="D60" s="334">
        <v>1095464.6691999999</v>
      </c>
      <c r="E60" s="334">
        <v>42</v>
      </c>
      <c r="F60" s="334">
        <v>924043.43906999996</v>
      </c>
    </row>
    <row r="61" spans="1:6">
      <c r="A61" s="348" t="s">
        <v>49</v>
      </c>
      <c r="B61" s="348" t="s">
        <v>54</v>
      </c>
      <c r="C61" s="334">
        <v>47</v>
      </c>
      <c r="D61" s="334">
        <v>4444455.0354000004</v>
      </c>
      <c r="E61" s="334">
        <v>115</v>
      </c>
      <c r="F61" s="334">
        <v>1646088.7944</v>
      </c>
    </row>
    <row r="62" spans="1:6">
      <c r="A62" s="348" t="s">
        <v>49</v>
      </c>
      <c r="B62" s="348" t="s">
        <v>55</v>
      </c>
      <c r="C62" s="334">
        <v>0</v>
      </c>
      <c r="D62" s="334">
        <v>0</v>
      </c>
      <c r="E62" s="334">
        <v>0</v>
      </c>
      <c r="F62" s="334">
        <v>0</v>
      </c>
    </row>
    <row r="63" spans="1:6">
      <c r="A63" s="348" t="s">
        <v>49</v>
      </c>
      <c r="B63" s="348" t="s">
        <v>29</v>
      </c>
      <c r="C63" s="334">
        <v>67</v>
      </c>
      <c r="D63" s="334">
        <v>2122846.5525000002</v>
      </c>
      <c r="E63" s="334">
        <v>87</v>
      </c>
      <c r="F63" s="334">
        <v>2016913.7896</v>
      </c>
    </row>
    <row r="64" spans="1:6">
      <c r="A64" s="348" t="s">
        <v>56</v>
      </c>
      <c r="B64" s="348" t="s">
        <v>57</v>
      </c>
      <c r="C64" s="334">
        <v>0</v>
      </c>
      <c r="D64" s="334">
        <v>0</v>
      </c>
      <c r="E64" s="334">
        <v>0</v>
      </c>
      <c r="F64" s="334">
        <v>0</v>
      </c>
    </row>
    <row r="65" spans="1:6">
      <c r="A65" s="348" t="s">
        <v>56</v>
      </c>
      <c r="B65" s="348" t="s">
        <v>29</v>
      </c>
      <c r="C65" s="334">
        <v>0</v>
      </c>
      <c r="D65" s="334">
        <v>0</v>
      </c>
      <c r="E65" s="334">
        <v>3</v>
      </c>
      <c r="F65" s="334">
        <v>18470.181376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898678.46036000003</v>
      </c>
      <c r="E68" s="334">
        <v>7</v>
      </c>
      <c r="F68" s="334">
        <v>356176.43677999999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44051630</v>
      </c>
      <c r="E73" s="476">
        <v>44809720.753484502</v>
      </c>
    </row>
    <row r="74" spans="1:6">
      <c r="A74" s="348" t="s">
        <v>64</v>
      </c>
      <c r="B74" s="348" t="s">
        <v>667</v>
      </c>
      <c r="C74" s="1212" t="s">
        <v>669</v>
      </c>
      <c r="D74" s="476">
        <v>1978720.0463613183</v>
      </c>
      <c r="E74" s="476">
        <v>2003316.3907529132</v>
      </c>
    </row>
    <row r="75" spans="1:6">
      <c r="A75" s="348" t="s">
        <v>65</v>
      </c>
      <c r="B75" s="348" t="s">
        <v>666</v>
      </c>
      <c r="C75" s="1212" t="s">
        <v>670</v>
      </c>
      <c r="D75" s="476">
        <v>8549016</v>
      </c>
      <c r="E75" s="476">
        <v>8719000.0882670749</v>
      </c>
    </row>
    <row r="76" spans="1:6">
      <c r="A76" s="348" t="s">
        <v>65</v>
      </c>
      <c r="B76" s="348" t="s">
        <v>667</v>
      </c>
      <c r="C76" s="1212" t="s">
        <v>671</v>
      </c>
      <c r="D76" s="476">
        <v>401431.04636131832</v>
      </c>
      <c r="E76" s="476">
        <v>412118.52871241147</v>
      </c>
    </row>
    <row r="77" spans="1:6">
      <c r="A77" s="348" t="s">
        <v>66</v>
      </c>
      <c r="B77" s="348" t="s">
        <v>666</v>
      </c>
      <c r="C77" s="1212" t="s">
        <v>672</v>
      </c>
      <c r="D77" s="476">
        <v>207810</v>
      </c>
      <c r="E77" s="476">
        <v>221352.56034041336</v>
      </c>
    </row>
    <row r="78" spans="1:6">
      <c r="A78" s="341" t="s">
        <v>66</v>
      </c>
      <c r="B78" s="341" t="s">
        <v>667</v>
      </c>
      <c r="C78" s="341" t="s">
        <v>673</v>
      </c>
      <c r="D78" s="1213">
        <v>52348</v>
      </c>
      <c r="E78" s="1213">
        <v>56417.206490501681</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124463.9072773634</v>
      </c>
      <c r="C83" s="476">
        <v>124463.9072773634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1806.3633581049489</v>
      </c>
    </row>
    <row r="92" spans="1:6">
      <c r="A92" s="341" t="s">
        <v>69</v>
      </c>
      <c r="B92" s="342">
        <v>425.38053416272953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2060</v>
      </c>
    </row>
    <row r="98" spans="1:6">
      <c r="A98" s="348" t="s">
        <v>72</v>
      </c>
      <c r="B98" s="334">
        <v>2</v>
      </c>
    </row>
    <row r="99" spans="1:6">
      <c r="A99" s="348" t="s">
        <v>73</v>
      </c>
      <c r="B99" s="334">
        <v>50</v>
      </c>
    </row>
    <row r="100" spans="1:6">
      <c r="A100" s="348" t="s">
        <v>74</v>
      </c>
      <c r="B100" s="334">
        <v>144</v>
      </c>
    </row>
    <row r="101" spans="1:6">
      <c r="A101" s="348" t="s">
        <v>75</v>
      </c>
      <c r="B101" s="334">
        <v>41</v>
      </c>
    </row>
    <row r="102" spans="1:6">
      <c r="A102" s="348" t="s">
        <v>76</v>
      </c>
      <c r="B102" s="334">
        <v>32</v>
      </c>
    </row>
    <row r="103" spans="1:6">
      <c r="A103" s="348" t="s">
        <v>77</v>
      </c>
      <c r="B103" s="334">
        <v>94</v>
      </c>
    </row>
    <row r="104" spans="1:6">
      <c r="A104" s="348" t="s">
        <v>78</v>
      </c>
      <c r="B104" s="334">
        <v>824</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59</v>
      </c>
    </row>
    <row r="130" spans="1:6">
      <c r="A130" s="348" t="s">
        <v>295</v>
      </c>
      <c r="B130" s="334">
        <v>2</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29428.220422233695</v>
      </c>
      <c r="C3" s="43" t="s">
        <v>170</v>
      </c>
      <c r="D3" s="43"/>
      <c r="E3" s="154"/>
      <c r="F3" s="43"/>
      <c r="G3" s="43"/>
      <c r="H3" s="43"/>
      <c r="I3" s="43"/>
      <c r="J3" s="43"/>
      <c r="K3" s="96"/>
    </row>
    <row r="4" spans="1:11">
      <c r="A4" s="383" t="s">
        <v>171</v>
      </c>
      <c r="B4" s="49">
        <f>IF(ISERROR('SEAP template'!B69),0,'SEAP template'!B69)</f>
        <v>11319.493892267677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2159.677058823529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0.20938084374584573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3085.2529411764704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12982.499999999998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421.92700000000002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421.92700000000002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0.20938084374584573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88.343431259153462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12813.323507999999</v>
      </c>
      <c r="C5" s="17">
        <f>IF(ISERROR('Eigen informatie GS &amp; warmtenet'!B57),0,'Eigen informatie GS &amp; warmtenet'!B57)</f>
        <v>0</v>
      </c>
      <c r="D5" s="30">
        <f>(SUM(HH_hh_gas_kWh,HH_rest_gas_kWh)/1000)*0.902</f>
        <v>41504.720570456004</v>
      </c>
      <c r="E5" s="17">
        <f>B46*B57</f>
        <v>3373.433902621839</v>
      </c>
      <c r="F5" s="17">
        <f>B51*B62</f>
        <v>2947.8348661409755</v>
      </c>
      <c r="G5" s="18"/>
      <c r="H5" s="17"/>
      <c r="I5" s="17"/>
      <c r="J5" s="17">
        <f>B50*B61+C50*C61</f>
        <v>492.17782392266218</v>
      </c>
      <c r="K5" s="17"/>
      <c r="L5" s="17"/>
      <c r="M5" s="17"/>
      <c r="N5" s="17">
        <f>B48*B59+C48*C59</f>
        <v>7856.2353330011329</v>
      </c>
      <c r="O5" s="17">
        <f>B69*B70*B71</f>
        <v>115.68666666666667</v>
      </c>
      <c r="P5" s="17">
        <f>B77*B78*B79/1000-B77*B78*B79/1000/B80</f>
        <v>305.06666666666666</v>
      </c>
    </row>
    <row r="6" spans="1:16">
      <c r="A6" s="16" t="s">
        <v>624</v>
      </c>
      <c r="B6" s="843">
        <f>kWh_PV_kleiner_dan_10kW</f>
        <v>1806.3633581049489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14619.686866104948</v>
      </c>
      <c r="C8" s="21">
        <f>C5</f>
        <v>0</v>
      </c>
      <c r="D8" s="21">
        <f>D5</f>
        <v>41504.720570456004</v>
      </c>
      <c r="E8" s="21">
        <f>E5</f>
        <v>3373.433902621839</v>
      </c>
      <c r="F8" s="21">
        <f>F5</f>
        <v>2947.8348661409755</v>
      </c>
      <c r="G8" s="21"/>
      <c r="H8" s="21"/>
      <c r="I8" s="21"/>
      <c r="J8" s="21">
        <f>J5</f>
        <v>492.17782392266218</v>
      </c>
      <c r="K8" s="21"/>
      <c r="L8" s="21">
        <f>L5</f>
        <v>0</v>
      </c>
      <c r="M8" s="21">
        <f>M5</f>
        <v>0</v>
      </c>
      <c r="N8" s="21">
        <f>N5</f>
        <v>7856.2353330011329</v>
      </c>
      <c r="O8" s="21">
        <f>O5</f>
        <v>115.68666666666667</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0.20938084374584573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3061.0823713251134</v>
      </c>
      <c r="C12" s="23">
        <f ca="1">C10*C8</f>
        <v>0</v>
      </c>
      <c r="D12" s="23">
        <f>D8*D10</f>
        <v>8383.953555232114</v>
      </c>
      <c r="E12" s="23">
        <f>E10*E8</f>
        <v>765.76949589515743</v>
      </c>
      <c r="F12" s="23">
        <f>F10*F8</f>
        <v>787.07190925964051</v>
      </c>
      <c r="G12" s="23"/>
      <c r="H12" s="23"/>
      <c r="I12" s="23"/>
      <c r="J12" s="23">
        <f>J10*J8</f>
        <v>174.2309496686224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2060</v>
      </c>
      <c r="C18" s="166" t="s">
        <v>111</v>
      </c>
      <c r="D18" s="228"/>
      <c r="E18" s="15"/>
    </row>
    <row r="19" spans="1:7">
      <c r="A19" s="171" t="s">
        <v>72</v>
      </c>
      <c r="B19" s="37">
        <f>aantalw2001_ander</f>
        <v>2</v>
      </c>
      <c r="C19" s="166" t="s">
        <v>111</v>
      </c>
      <c r="D19" s="229"/>
      <c r="E19" s="15"/>
    </row>
    <row r="20" spans="1:7">
      <c r="A20" s="171" t="s">
        <v>73</v>
      </c>
      <c r="B20" s="37">
        <f>aantalw2001_propaan</f>
        <v>50</v>
      </c>
      <c r="C20" s="167">
        <f>IF(ISERROR(B20/SUM($B$20,$B$21,$B$22)*100),0,B20/SUM($B$20,$B$21,$B$22)*100)</f>
        <v>21.276595744680851</v>
      </c>
      <c r="D20" s="229"/>
      <c r="E20" s="15"/>
    </row>
    <row r="21" spans="1:7">
      <c r="A21" s="171" t="s">
        <v>74</v>
      </c>
      <c r="B21" s="37">
        <f>aantalw2001_elektriciteit</f>
        <v>144</v>
      </c>
      <c r="C21" s="167">
        <f>IF(ISERROR(B21/SUM($B$20,$B$21,$B$22)*100),0,B21/SUM($B$20,$B$21,$B$22)*100)</f>
        <v>61.276595744680847</v>
      </c>
      <c r="D21" s="229"/>
      <c r="E21" s="15"/>
    </row>
    <row r="22" spans="1:7">
      <c r="A22" s="171" t="s">
        <v>75</v>
      </c>
      <c r="B22" s="37">
        <f>aantalw2001_hout</f>
        <v>41</v>
      </c>
      <c r="C22" s="167">
        <f>IF(ISERROR(B22/SUM($B$20,$B$21,$B$22)*100),0,B22/SUM($B$20,$B$21,$B$22)*100)</f>
        <v>17.446808510638299</v>
      </c>
      <c r="D22" s="229"/>
      <c r="E22" s="15"/>
    </row>
    <row r="23" spans="1:7">
      <c r="A23" s="171" t="s">
        <v>76</v>
      </c>
      <c r="B23" s="37">
        <f>aantalw2001_niet_gespec</f>
        <v>32</v>
      </c>
      <c r="C23" s="166" t="s">
        <v>111</v>
      </c>
      <c r="D23" s="228"/>
      <c r="E23" s="15"/>
    </row>
    <row r="24" spans="1:7">
      <c r="A24" s="171" t="s">
        <v>77</v>
      </c>
      <c r="B24" s="37">
        <f>aantalw2001_steenkool</f>
        <v>94</v>
      </c>
      <c r="C24" s="166" t="s">
        <v>111</v>
      </c>
      <c r="D24" s="229"/>
      <c r="E24" s="15"/>
    </row>
    <row r="25" spans="1:7">
      <c r="A25" s="171" t="s">
        <v>78</v>
      </c>
      <c r="B25" s="37">
        <f>aantalw2001_stookolie</f>
        <v>824</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3695</v>
      </c>
      <c r="C28" s="36"/>
      <c r="D28" s="228"/>
    </row>
    <row r="29" spans="1:7" s="15" customFormat="1">
      <c r="A29" s="230" t="s">
        <v>699</v>
      </c>
      <c r="B29" s="37">
        <f>SUM(HH_hh_gas_aantal,HH_rest_gas_aantal)</f>
        <v>2841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2841</v>
      </c>
      <c r="C32" s="167">
        <f>IF(ISERROR(B32/SUM($B$32,$B$34,$B$35,$B$36,$B$38,$B$39)*100),0,B32/SUM($B$32,$B$34,$B$35,$B$36,$B$38,$B$39)*100)</f>
        <v>77.222071215004078</v>
      </c>
      <c r="D32" s="233"/>
      <c r="G32" s="15"/>
    </row>
    <row r="33" spans="1:7">
      <c r="A33" s="171" t="s">
        <v>72</v>
      </c>
      <c r="B33" s="34" t="s">
        <v>111</v>
      </c>
      <c r="C33" s="167"/>
      <c r="D33" s="233"/>
      <c r="G33" s="15"/>
    </row>
    <row r="34" spans="1:7">
      <c r="A34" s="171" t="s">
        <v>73</v>
      </c>
      <c r="B34" s="33">
        <f>IF((($B$28-$B$32-$B$39-$B$77-$B$38)*C20/100)&lt;0,0,($B$28-$B$32-$B$39-$B$77-$B$38)*C20/100)</f>
        <v>149.14893617021278</v>
      </c>
      <c r="C34" s="167">
        <f>IF(ISERROR(B34/SUM($B$32,$B$34,$B$35,$B$36,$B$38,$B$39)*100),0,B34/SUM($B$32,$B$34,$B$35,$B$36,$B$38,$B$39)*100)</f>
        <v>4.0540618692637347</v>
      </c>
      <c r="D34" s="233"/>
      <c r="G34" s="15"/>
    </row>
    <row r="35" spans="1:7">
      <c r="A35" s="171" t="s">
        <v>74</v>
      </c>
      <c r="B35" s="33">
        <f>IF((($B$28-$B$32-$B$39-$B$77-$B$38)*C21/100)&lt;0,0,($B$28-$B$32-$B$39-$B$77-$B$38)*C21/100)</f>
        <v>429.54893617021276</v>
      </c>
      <c r="C35" s="167">
        <f>IF(ISERROR(B35/SUM($B$32,$B$34,$B$35,$B$36,$B$38,$B$39)*100),0,B35/SUM($B$32,$B$34,$B$35,$B$36,$B$38,$B$39)*100)</f>
        <v>11.675698183479554</v>
      </c>
      <c r="D35" s="233"/>
      <c r="G35" s="15"/>
    </row>
    <row r="36" spans="1:7">
      <c r="A36" s="171" t="s">
        <v>75</v>
      </c>
      <c r="B36" s="33">
        <f>IF((($B$28-$B$32-$B$39-$B$77-$B$38)*C22/100)&lt;0,0,($B$28-$B$32-$B$39-$B$77-$B$38)*C22/100)</f>
        <v>122.30212765957447</v>
      </c>
      <c r="C36" s="167">
        <f>IF(ISERROR(B36/SUM($B$32,$B$34,$B$35,$B$36,$B$38,$B$39)*100),0,B36/SUM($B$32,$B$34,$B$35,$B$36,$B$38,$B$39)*100)</f>
        <v>3.3243307327962617</v>
      </c>
      <c r="D36" s="233"/>
      <c r="G36" s="15"/>
    </row>
    <row r="37" spans="1:7">
      <c r="A37" s="171" t="s">
        <v>76</v>
      </c>
      <c r="B37" s="34" t="s">
        <v>111</v>
      </c>
      <c r="C37" s="167"/>
      <c r="D37" s="173"/>
      <c r="G37" s="15"/>
    </row>
    <row r="38" spans="1:7">
      <c r="A38" s="171" t="s">
        <v>77</v>
      </c>
      <c r="B38" s="33">
        <f>IF((B24-(B29-B18)*0.1)&lt;0,0,B24-(B29-B18)*0.1)</f>
        <v>15.899999999999991</v>
      </c>
      <c r="C38" s="167">
        <f>IF(ISERROR(B38/SUM($B$32,$B$34,$B$35,$B$36,$B$38,$B$39)*100),0,B38/SUM($B$32,$B$34,$B$35,$B$36,$B$38,$B$39)*100)</f>
        <v>0.432182658331068</v>
      </c>
      <c r="D38" s="234"/>
      <c r="G38" s="15"/>
    </row>
    <row r="39" spans="1:7">
      <c r="A39" s="171" t="s">
        <v>78</v>
      </c>
      <c r="B39" s="33">
        <f>IF((B25-(B29-B18))&lt;0,0,B25-(B29-B18)*0.9)</f>
        <v>121.10000000000002</v>
      </c>
      <c r="C39" s="167">
        <f>IF(ISERROR(B39/SUM($B$32,$B$34,$B$35,$B$36,$B$38,$B$39)*100),0,B39/SUM($B$32,$B$34,$B$35,$B$36,$B$38,$B$39)*100)</f>
        <v>3.2916553411253067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2841</v>
      </c>
      <c r="C44" s="34" t="s">
        <v>111</v>
      </c>
      <c r="D44" s="174"/>
    </row>
    <row r="45" spans="1:7">
      <c r="A45" s="171" t="s">
        <v>72</v>
      </c>
      <c r="B45" s="33" t="str">
        <f t="shared" si="0"/>
        <v>-</v>
      </c>
      <c r="C45" s="34" t="s">
        <v>111</v>
      </c>
      <c r="D45" s="174"/>
    </row>
    <row r="46" spans="1:7">
      <c r="A46" s="171" t="s">
        <v>73</v>
      </c>
      <c r="B46" s="33">
        <f t="shared" si="0"/>
        <v>149.14893617021278</v>
      </c>
      <c r="C46" s="34" t="s">
        <v>111</v>
      </c>
      <c r="D46" s="174"/>
    </row>
    <row r="47" spans="1:7">
      <c r="A47" s="171" t="s">
        <v>74</v>
      </c>
      <c r="B47" s="33">
        <f t="shared" si="0"/>
        <v>429.54893617021276</v>
      </c>
      <c r="C47" s="34" t="s">
        <v>111</v>
      </c>
      <c r="D47" s="174"/>
    </row>
    <row r="48" spans="1:7">
      <c r="A48" s="171" t="s">
        <v>75</v>
      </c>
      <c r="B48" s="33">
        <f t="shared" si="0"/>
        <v>122.30212765957447</v>
      </c>
      <c r="C48" s="33">
        <f>B48*10</f>
        <v>1223.0212765957447</v>
      </c>
      <c r="D48" s="234"/>
    </row>
    <row r="49" spans="1:6">
      <c r="A49" s="171" t="s">
        <v>76</v>
      </c>
      <c r="B49" s="33" t="str">
        <f t="shared" si="0"/>
        <v>-</v>
      </c>
      <c r="C49" s="34" t="s">
        <v>111</v>
      </c>
      <c r="D49" s="234"/>
    </row>
    <row r="50" spans="1:6">
      <c r="A50" s="171" t="s">
        <v>77</v>
      </c>
      <c r="B50" s="33">
        <f t="shared" si="0"/>
        <v>15.899999999999991</v>
      </c>
      <c r="C50" s="33">
        <f>B50*2</f>
        <v>31.799999999999983</v>
      </c>
      <c r="D50" s="234"/>
    </row>
    <row r="51" spans="1:6">
      <c r="A51" s="171" t="s">
        <v>78</v>
      </c>
      <c r="B51" s="33">
        <f t="shared" si="0"/>
        <v>121.10000000000002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8830.5199644949989</v>
      </c>
      <c r="C5" s="17">
        <f>IF(ISERROR('Eigen informatie GS &amp; warmtenet'!B58),0,'Eigen informatie GS &amp; warmtenet'!B58)</f>
        <v>0</v>
      </c>
      <c r="D5" s="30">
        <f>SUM(D6:D12)</f>
        <v>10931.31100048812</v>
      </c>
      <c r="E5" s="17">
        <f>SUM(E6:E12)</f>
        <v>191.31274101863778</v>
      </c>
      <c r="F5" s="17">
        <f>SUM(F6:F12)</f>
        <v>2193.0442846441861</v>
      </c>
      <c r="G5" s="18"/>
      <c r="H5" s="17"/>
      <c r="I5" s="17"/>
      <c r="J5" s="17">
        <f>SUM(J6:J12)</f>
        <v>0</v>
      </c>
      <c r="K5" s="17"/>
      <c r="L5" s="17"/>
      <c r="M5" s="17"/>
      <c r="N5" s="17">
        <f>SUM(N6:N12)</f>
        <v>936.19217079712735</v>
      </c>
      <c r="O5" s="17">
        <f>B38*B39*B40</f>
        <v>3.1266666666666669</v>
      </c>
      <c r="P5" s="17">
        <f>B46*B47*B48/1000-B46*B47*B48/1000/B49</f>
        <v>19.066666666666666</v>
      </c>
      <c r="R5" s="32"/>
    </row>
    <row r="6" spans="1:18">
      <c r="A6" s="32" t="s">
        <v>54</v>
      </c>
      <c r="B6" s="37">
        <f>B26</f>
        <v>1646.0887944000001</v>
      </c>
      <c r="C6" s="33"/>
      <c r="D6" s="37">
        <f>IF(ISERROR(TER_kantoor_gas_kWh/1000),0,TER_kantoor_gas_kWh/1000)*0.902</f>
        <v>4008.8984419308003</v>
      </c>
      <c r="E6" s="33">
        <f>$C$26*'E Balans VL '!I12/100/3.6*1000000</f>
        <v>21.549330006067876</v>
      </c>
      <c r="F6" s="33">
        <f>$C$26*('E Balans VL '!L12+'E Balans VL '!N12)/100/3.6*1000000</f>
        <v>419.73563252580726</v>
      </c>
      <c r="G6" s="34"/>
      <c r="H6" s="33"/>
      <c r="I6" s="33"/>
      <c r="J6" s="33">
        <f>$C$26*('E Balans VL '!D12+'E Balans VL '!E12)/100/3.6*1000000</f>
        <v>0</v>
      </c>
      <c r="K6" s="33"/>
      <c r="L6" s="33"/>
      <c r="M6" s="33"/>
      <c r="N6" s="33">
        <f>$C$26*'E Balans VL '!Y12/100/3.6*1000000</f>
        <v>1.6516319102460018</v>
      </c>
      <c r="O6" s="33"/>
      <c r="P6" s="33"/>
      <c r="R6" s="32"/>
    </row>
    <row r="7" spans="1:18">
      <c r="A7" s="32" t="s">
        <v>53</v>
      </c>
      <c r="B7" s="37">
        <f t="shared" ref="B7:B12" si="0">B27</f>
        <v>924.04343906999998</v>
      </c>
      <c r="C7" s="33"/>
      <c r="D7" s="37">
        <f>IF(ISERROR(TER_horeca_gas_kWh/1000),0,TER_horeca_gas_kWh/1000)*0.902</f>
        <v>988.10913161839994</v>
      </c>
      <c r="E7" s="33">
        <f>$C$27*'E Balans VL '!I9/100/3.6*1000000</f>
        <v>30.58021706553108</v>
      </c>
      <c r="F7" s="33">
        <f>$C$27*('E Balans VL '!L9+'E Balans VL '!N9)/100/3.6*1000000</f>
        <v>397.33513743668237</v>
      </c>
      <c r="G7" s="34"/>
      <c r="H7" s="33"/>
      <c r="I7" s="33"/>
      <c r="J7" s="33">
        <f>$C$27*('E Balans VL '!D9+'E Balans VL '!E9)/100/3.6*1000000</f>
        <v>0</v>
      </c>
      <c r="K7" s="33"/>
      <c r="L7" s="33"/>
      <c r="M7" s="33"/>
      <c r="N7" s="33">
        <f>$C$27*'E Balans VL '!Y9/100/3.6*1000000</f>
        <v>0.22243067436745145</v>
      </c>
      <c r="O7" s="33"/>
      <c r="P7" s="33"/>
      <c r="R7" s="32"/>
    </row>
    <row r="8" spans="1:18">
      <c r="A8" s="6" t="s">
        <v>52</v>
      </c>
      <c r="B8" s="37">
        <f t="shared" si="0"/>
        <v>3239.1074037000003</v>
      </c>
      <c r="C8" s="33"/>
      <c r="D8" s="37">
        <f>IF(ISERROR(TER_handel_gas_kWh/1000),0,TER_handel_gas_kWh/1000)*0.902</f>
        <v>1472.4033480947999</v>
      </c>
      <c r="E8" s="33">
        <f>$C$28*'E Balans VL '!I13/100/3.6*1000000</f>
        <v>102.23117886956382</v>
      </c>
      <c r="F8" s="33">
        <f>$C$28*('E Balans VL '!L13+'E Balans VL '!N13)/100/3.6*1000000</f>
        <v>635.24599900576959</v>
      </c>
      <c r="G8" s="34"/>
      <c r="H8" s="33"/>
      <c r="I8" s="33"/>
      <c r="J8" s="33">
        <f>$C$28*('E Balans VL '!D13+'E Balans VL '!E13)/100/3.6*1000000</f>
        <v>0</v>
      </c>
      <c r="K8" s="33"/>
      <c r="L8" s="33"/>
      <c r="M8" s="33"/>
      <c r="N8" s="33">
        <f>$C$28*'E Balans VL '!Y13/100/3.6*1000000</f>
        <v>3.8441916232097122</v>
      </c>
      <c r="O8" s="33"/>
      <c r="P8" s="33"/>
      <c r="R8" s="32"/>
    </row>
    <row r="9" spans="1:18">
      <c r="A9" s="32" t="s">
        <v>51</v>
      </c>
      <c r="B9" s="37">
        <f t="shared" si="0"/>
        <v>50.250973075000005</v>
      </c>
      <c r="C9" s="33"/>
      <c r="D9" s="37">
        <f>IF(ISERROR(TER_gezond_gas_kWh/1000),0,TER_gezond_gas_kWh/1000)*0.902</f>
        <v>292.95544974872001</v>
      </c>
      <c r="E9" s="33">
        <f>$C$29*'E Balans VL '!I10/100/3.6*1000000</f>
        <v>6.4335946131994434E-3</v>
      </c>
      <c r="F9" s="33">
        <f>$C$29*('E Balans VL '!L10+'E Balans VL '!N10)/100/3.6*1000000</f>
        <v>10.469383902824402</v>
      </c>
      <c r="G9" s="34"/>
      <c r="H9" s="33"/>
      <c r="I9" s="33"/>
      <c r="J9" s="33">
        <f>$C$29*('E Balans VL '!D10+'E Balans VL '!E10)/100/3.6*1000000</f>
        <v>0</v>
      </c>
      <c r="K9" s="33"/>
      <c r="L9" s="33"/>
      <c r="M9" s="33"/>
      <c r="N9" s="33">
        <f>$C$29*'E Balans VL '!Y10/100/3.6*1000000</f>
        <v>0.59022143049829134</v>
      </c>
      <c r="O9" s="33"/>
      <c r="P9" s="33"/>
      <c r="R9" s="32"/>
    </row>
    <row r="10" spans="1:18">
      <c r="A10" s="32" t="s">
        <v>50</v>
      </c>
      <c r="B10" s="37">
        <f t="shared" si="0"/>
        <v>954.11556465000001</v>
      </c>
      <c r="C10" s="33"/>
      <c r="D10" s="37">
        <f>IF(ISERROR(TER_ander_gas_kWh/1000),0,TER_ander_gas_kWh/1000)*0.902</f>
        <v>2254.1370387403999</v>
      </c>
      <c r="E10" s="33">
        <f>$C$30*'E Balans VL '!I14/100/3.6*1000000</f>
        <v>1.4347654340858951</v>
      </c>
      <c r="F10" s="33">
        <f>$C$30*('E Balans VL '!L14+'E Balans VL '!N14)/100/3.6*1000000</f>
        <v>210.63796114401393</v>
      </c>
      <c r="G10" s="34"/>
      <c r="H10" s="33"/>
      <c r="I10" s="33"/>
      <c r="J10" s="33">
        <f>$C$30*('E Balans VL '!D14+'E Balans VL '!E14)/100/3.6*1000000</f>
        <v>0</v>
      </c>
      <c r="K10" s="33"/>
      <c r="L10" s="33"/>
      <c r="M10" s="33"/>
      <c r="N10" s="33">
        <f>$C$30*'E Balans VL '!Y14/100/3.6*1000000</f>
        <v>751.90727450075974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2016.9137896</v>
      </c>
      <c r="C12" s="33"/>
      <c r="D12" s="37">
        <f>IF(ISERROR(TER_rest_gas_kWh/1000),0,TER_rest_gas_kWh/1000)*0.902</f>
        <v>1914.8075903550002</v>
      </c>
      <c r="E12" s="33">
        <f>$C$32*'E Balans VL '!I8/100/3.6*1000000</f>
        <v>35.510816048775879</v>
      </c>
      <c r="F12" s="33">
        <f>$C$32*('E Balans VL '!L8+'E Balans VL '!N8)/100/3.6*1000000</f>
        <v>519.62017062908865</v>
      </c>
      <c r="G12" s="34"/>
      <c r="H12" s="33"/>
      <c r="I12" s="33"/>
      <c r="J12" s="33">
        <f>$C$32*('E Balans VL '!D8+'E Balans VL '!E8)/100/3.6*1000000</f>
        <v>0</v>
      </c>
      <c r="K12" s="33"/>
      <c r="L12" s="33"/>
      <c r="M12" s="33"/>
      <c r="N12" s="33">
        <f>$C$32*'E Balans VL '!Y8/100/3.6*1000000</f>
        <v>177.97642065804607</v>
      </c>
      <c r="O12" s="33"/>
      <c r="P12" s="33"/>
      <c r="R12" s="32"/>
    </row>
    <row r="13" spans="1:18">
      <c r="A13" s="16" t="s">
        <v>491</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8855.2699644949989</v>
      </c>
      <c r="C16" s="21">
        <f t="shared" ca="1" si="1"/>
        <v>35.357142857142861</v>
      </c>
      <c r="D16" s="21">
        <f t="shared" ca="1" si="1"/>
        <v>10860.596714773834</v>
      </c>
      <c r="E16" s="21">
        <f t="shared" si="1"/>
        <v>191.31274101863778</v>
      </c>
      <c r="F16" s="21">
        <f t="shared" ca="1" si="1"/>
        <v>2193.0442846441861</v>
      </c>
      <c r="G16" s="21">
        <f t="shared" si="1"/>
        <v>0</v>
      </c>
      <c r="H16" s="21">
        <f t="shared" si="1"/>
        <v>0</v>
      </c>
      <c r="I16" s="21">
        <f t="shared" si="1"/>
        <v>0</v>
      </c>
      <c r="J16" s="21">
        <f t="shared" si="1"/>
        <v>0</v>
      </c>
      <c r="K16" s="21">
        <f t="shared" si="1"/>
        <v>0</v>
      </c>
      <c r="L16" s="21">
        <f t="shared" ca="1" si="1"/>
        <v>0</v>
      </c>
      <c r="M16" s="21">
        <f t="shared" si="1"/>
        <v>0</v>
      </c>
      <c r="N16" s="21">
        <f t="shared" ca="1" si="1"/>
        <v>936.19217079712735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0.20938084374584573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1854.1238967632082</v>
      </c>
      <c r="C20" s="23">
        <f t="shared" ref="C20:P20" ca="1" si="2">C16*C18</f>
        <v>8.4025210084033635</v>
      </c>
      <c r="D20" s="23">
        <f t="shared" ca="1" si="2"/>
        <v>2193.8405363843144</v>
      </c>
      <c r="E20" s="23">
        <f t="shared" si="2"/>
        <v>43.42799221123078</v>
      </c>
      <c r="F20" s="23">
        <f t="shared" ca="1" si="2"/>
        <v>585.54282399999772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1646.0887944000001</v>
      </c>
      <c r="C26" s="39">
        <f>IF(ISERROR(B26*3.6/1000000/'E Balans VL '!Z12*100),0,B26*3.6/1000000/'E Balans VL '!Z12*100)</f>
        <v>3.5260500772636635E-2</v>
      </c>
      <c r="D26" s="237" t="s">
        <v>660</v>
      </c>
      <c r="F26" s="6"/>
    </row>
    <row r="27" spans="1:18">
      <c r="A27" s="231" t="s">
        <v>53</v>
      </c>
      <c r="B27" s="33">
        <f>IF(ISERROR(TER_horeca_ele_kWh/1000),0,TER_horeca_ele_kWh/1000)</f>
        <v>924.04343906999998</v>
      </c>
      <c r="C27" s="39">
        <f>IF(ISERROR(B27*3.6/1000000/'E Balans VL '!Z9*100),0,B27*3.6/1000000/'E Balans VL '!Z9*100)</f>
        <v>7.4151274043158119E-2</v>
      </c>
      <c r="D27" s="237" t="s">
        <v>660</v>
      </c>
      <c r="F27" s="6"/>
    </row>
    <row r="28" spans="1:18">
      <c r="A28" s="171" t="s">
        <v>52</v>
      </c>
      <c r="B28" s="33">
        <f>IF(ISERROR(TER_handel_ele_kWh/1000),0,TER_handel_ele_kWh/1000)</f>
        <v>3239.1074037000003</v>
      </c>
      <c r="C28" s="39">
        <f>IF(ISERROR(B28*3.6/1000000/'E Balans VL '!Z13*100),0,B28*3.6/1000000/'E Balans VL '!Z13*100)</f>
        <v>9.5535089630129688E-2</v>
      </c>
      <c r="D28" s="237" t="s">
        <v>660</v>
      </c>
      <c r="F28" s="6"/>
    </row>
    <row r="29" spans="1:18">
      <c r="A29" s="231" t="s">
        <v>51</v>
      </c>
      <c r="B29" s="33">
        <f>IF(ISERROR(TER_gezond_ele_kWh/1000),0,TER_gezond_ele_kWh/1000)</f>
        <v>50.250973075000005</v>
      </c>
      <c r="C29" s="39">
        <f>IF(ISERROR(B29*3.6/1000000/'E Balans VL '!Z10*100),0,B29*3.6/1000000/'E Balans VL '!Z10*100)</f>
        <v>5.365456645299309E-3</v>
      </c>
      <c r="D29" s="237" t="s">
        <v>660</v>
      </c>
      <c r="F29" s="6"/>
    </row>
    <row r="30" spans="1:18">
      <c r="A30" s="231" t="s">
        <v>50</v>
      </c>
      <c r="B30" s="33">
        <f>IF(ISERROR(TER_ander_ele_kWh/1000),0,TER_ander_ele_kWh/1000)</f>
        <v>954.11556465000001</v>
      </c>
      <c r="C30" s="39">
        <f>IF(ISERROR(B30*3.6/1000000/'E Balans VL '!Z14*100),0,B30*3.6/1000000/'E Balans VL '!Z14*100)</f>
        <v>7.2068095258709053E-2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2016.9137896</v>
      </c>
      <c r="C32" s="39">
        <f>IF(ISERROR(B32*3.6/1000000/'E Balans VL '!Z8*100),0,B32*3.6/1000000/'E Balans VL '!Z8*100)</f>
        <v>1.6723023847974926E-2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4274.7045582499995</v>
      </c>
      <c r="C5" s="17">
        <f>IF(ISERROR('Eigen informatie GS &amp; warmtenet'!B59),0,'Eigen informatie GS &amp; warmtenet'!B59)</f>
        <v>0</v>
      </c>
      <c r="D5" s="30">
        <f>SUM(D6:D15)</f>
        <v>1895.0995256642682</v>
      </c>
      <c r="E5" s="17">
        <f>SUM(E6:E15)</f>
        <v>331.90665851128659</v>
      </c>
      <c r="F5" s="17">
        <f>SUM(F6:F15)</f>
        <v>1343.5003180113713</v>
      </c>
      <c r="G5" s="18"/>
      <c r="H5" s="17"/>
      <c r="I5" s="17"/>
      <c r="J5" s="17">
        <f>SUM(J6:J15)</f>
        <v>25.824817125167616</v>
      </c>
      <c r="K5" s="17"/>
      <c r="L5" s="17"/>
      <c r="M5" s="17"/>
      <c r="N5" s="17">
        <f>SUM(N6:N15)</f>
        <v>943.31152901907922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220.55141162000001</v>
      </c>
      <c r="C8" s="33"/>
      <c r="D8" s="37">
        <f>IF( ISERROR(IND_metaal_Gas_kWH/1000),0,IND_metaal_Gas_kWH/1000)*0.902</f>
        <v>256.70853245686004</v>
      </c>
      <c r="E8" s="33">
        <f>C30*'E Balans VL '!I18/100/3.6*1000000</f>
        <v>7.9361070033368062</v>
      </c>
      <c r="F8" s="33">
        <f>C30*'E Balans VL '!L18/100/3.6*1000000+C30*'E Balans VL '!N18/100/3.6*1000000</f>
        <v>96.307651946903874</v>
      </c>
      <c r="G8" s="34"/>
      <c r="H8" s="33"/>
      <c r="I8" s="33"/>
      <c r="J8" s="40">
        <f>C30*'E Balans VL '!D18/100/3.6*1000000+C30*'E Balans VL '!E18/100/3.6*1000000</f>
        <v>0</v>
      </c>
      <c r="K8" s="33"/>
      <c r="L8" s="33"/>
      <c r="M8" s="33"/>
      <c r="N8" s="33">
        <f>C30*'E Balans VL '!Y18/100/3.6*1000000</f>
        <v>11.053886869828919</v>
      </c>
      <c r="O8" s="33"/>
      <c r="P8" s="33"/>
      <c r="R8" s="32"/>
    </row>
    <row r="9" spans="1:18">
      <c r="A9" s="6" t="s">
        <v>33</v>
      </c>
      <c r="B9" s="37">
        <f t="shared" si="0"/>
        <v>561.47968141000001</v>
      </c>
      <c r="C9" s="33"/>
      <c r="D9" s="37">
        <f>IF( ISERROR(IND_andere_gas_kWh/1000),0,IND_andere_gas_kWh/1000)*0.902</f>
        <v>431.67114165295999</v>
      </c>
      <c r="E9" s="33">
        <f>C31*'E Balans VL '!I19/100/3.6*1000000</f>
        <v>143.27691086221898</v>
      </c>
      <c r="F9" s="33">
        <f>C31*'E Balans VL '!L19/100/3.6*1000000+C31*'E Balans VL '!N19/100/3.6*1000000</f>
        <v>483.39180324046481</v>
      </c>
      <c r="G9" s="34"/>
      <c r="H9" s="33"/>
      <c r="I9" s="33"/>
      <c r="J9" s="40">
        <f>C31*'E Balans VL '!D19/100/3.6*1000000+C31*'E Balans VL '!E19/100/3.6*1000000</f>
        <v>0</v>
      </c>
      <c r="K9" s="33"/>
      <c r="L9" s="33"/>
      <c r="M9" s="33"/>
      <c r="N9" s="33">
        <f>C31*'E Balans VL '!Y19/100/3.6*1000000</f>
        <v>175.59392504777642</v>
      </c>
      <c r="O9" s="33"/>
      <c r="P9" s="33"/>
      <c r="R9" s="32"/>
    </row>
    <row r="10" spans="1:18">
      <c r="A10" s="6" t="s">
        <v>41</v>
      </c>
      <c r="B10" s="37">
        <f t="shared" si="0"/>
        <v>307.22273832000002</v>
      </c>
      <c r="C10" s="33"/>
      <c r="D10" s="37">
        <f>IF( ISERROR(IND_voed_gas_kWh/1000),0,IND_voed_gas_kWh/1000)*0.902</f>
        <v>90.090522387448004</v>
      </c>
      <c r="E10" s="33">
        <f>C32*'E Balans VL '!I20/100/3.6*1000000</f>
        <v>7.810023859484124</v>
      </c>
      <c r="F10" s="33">
        <f>C32*'E Balans VL '!L20/100/3.6*1000000+C32*'E Balans VL '!N20/100/3.6*1000000</f>
        <v>69.519893870791009</v>
      </c>
      <c r="G10" s="34"/>
      <c r="H10" s="33"/>
      <c r="I10" s="33"/>
      <c r="J10" s="40">
        <f>C32*'E Balans VL '!D20/100/3.6*1000000+C32*'E Balans VL '!E20/100/3.6*1000000</f>
        <v>0</v>
      </c>
      <c r="K10" s="33"/>
      <c r="L10" s="33"/>
      <c r="M10" s="33"/>
      <c r="N10" s="33">
        <f>C32*'E Balans VL '!Y20/100/3.6*1000000</f>
        <v>115.21685446987716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3185.4507269000001</v>
      </c>
      <c r="C15" s="33"/>
      <c r="D15" s="37">
        <f>IF( ISERROR(IND_rest_gas_kWh/1000),0,IND_rest_gas_kWh/1000)*0.902</f>
        <v>1116.6293291670002</v>
      </c>
      <c r="E15" s="33">
        <f>C37*'E Balans VL '!I15/100/3.6*1000000</f>
        <v>172.88361678624668</v>
      </c>
      <c r="F15" s="33">
        <f>C37*'E Balans VL '!L15/100/3.6*1000000+C37*'E Balans VL '!N15/100/3.6*1000000</f>
        <v>694.28096895321164</v>
      </c>
      <c r="G15" s="34"/>
      <c r="H15" s="33"/>
      <c r="I15" s="33"/>
      <c r="J15" s="40">
        <f>C37*'E Balans VL '!D15/100/3.6*1000000+C37*'E Balans VL '!E15/100/3.6*1000000</f>
        <v>25.824817125167616</v>
      </c>
      <c r="K15" s="33"/>
      <c r="L15" s="33"/>
      <c r="M15" s="33"/>
      <c r="N15" s="33">
        <f>C37*'E Balans VL '!Y15/100/3.6*1000000</f>
        <v>641.44686263159667</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4274.7045582499995</v>
      </c>
      <c r="C18" s="21">
        <f>C5+C16</f>
        <v>0</v>
      </c>
      <c r="D18" s="21">
        <f>MAX((D5+D16),0)</f>
        <v>1895.0995256642682</v>
      </c>
      <c r="E18" s="21">
        <f>MAX((E5+E16),0)</f>
        <v>331.90665851128659</v>
      </c>
      <c r="F18" s="21">
        <f>MAX((F5+F16),0)</f>
        <v>1343.5003180113713</v>
      </c>
      <c r="G18" s="21"/>
      <c r="H18" s="21"/>
      <c r="I18" s="21"/>
      <c r="J18" s="21">
        <f>MAX((J5+J16),0)</f>
        <v>25.824817125167616</v>
      </c>
      <c r="K18" s="21"/>
      <c r="L18" s="21">
        <f>MAX((L5+L16),0)</f>
        <v>0</v>
      </c>
      <c r="M18" s="21"/>
      <c r="N18" s="21">
        <f>MAX((N5+N16),0)</f>
        <v>943.31152901907922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0.20938084374584573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895.04124717059767</v>
      </c>
      <c r="C22" s="23">
        <f ca="1">C18*C20</f>
        <v>0</v>
      </c>
      <c r="D22" s="23">
        <f>D18*D20</f>
        <v>382.81010418418219</v>
      </c>
      <c r="E22" s="23">
        <f>E18*E20</f>
        <v>75.342811482062061</v>
      </c>
      <c r="F22" s="23">
        <f>F18*F20</f>
        <v>358.71458490903615</v>
      </c>
      <c r="G22" s="23"/>
      <c r="H22" s="23"/>
      <c r="I22" s="23"/>
      <c r="J22" s="23">
        <f>J18*J20</f>
        <v>9.1419852623093352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220.55141162000001</v>
      </c>
      <c r="C30" s="39">
        <f>IF(ISERROR(B30*3.6/1000000/'E Balans VL '!Z18*100),0,B30*3.6/1000000/'E Balans VL '!Z18*100)</f>
        <v>4.6730115624634992E-2</v>
      </c>
      <c r="D30" s="237" t="s">
        <v>660</v>
      </c>
    </row>
    <row r="31" spans="1:18">
      <c r="A31" s="6" t="s">
        <v>33</v>
      </c>
      <c r="B31" s="37">
        <f>IF( ISERROR(IND_ander_ele_kWh/1000),0,IND_ander_ele_kWh/1000)</f>
        <v>561.47968141000001</v>
      </c>
      <c r="C31" s="39">
        <f>IF(ISERROR(B31*3.6/1000000/'E Balans VL '!Z19*100),0,B31*3.6/1000000/'E Balans VL '!Z19*100)</f>
        <v>2.3633954722884164E-2</v>
      </c>
      <c r="D31" s="237" t="s">
        <v>660</v>
      </c>
    </row>
    <row r="32" spans="1:18">
      <c r="A32" s="171" t="s">
        <v>41</v>
      </c>
      <c r="B32" s="37">
        <f>IF( ISERROR(IND_voed_ele_kWh/1000),0,IND_voed_ele_kWh/1000)</f>
        <v>307.22273832000002</v>
      </c>
      <c r="C32" s="39">
        <f>IF(ISERROR(B32*3.6/1000000/'E Balans VL '!Z20*100),0,B32*3.6/1000000/'E Balans VL '!Z20*100)</f>
        <v>5.1325034422573336E-2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3185.4507269000001</v>
      </c>
      <c r="C37" s="39">
        <f>IF(ISERROR(B37*3.6/1000000/'E Balans VL '!Z15*100),0,B37*3.6/1000000/'E Balans VL '!Z15*100)</f>
        <v>2.571737718131939E-2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1244.2571510299999</v>
      </c>
      <c r="C5" s="17">
        <f>'Eigen informatie GS &amp; warmtenet'!B60</f>
        <v>0</v>
      </c>
      <c r="D5" s="30">
        <f>IF(ISERROR(SUM(LB_lb_gas_kWh,LB_rest_gas_kWh,onbekend_gas_kWh)/1000),0,SUM(LB_lb_gas_kWh,LB_rest_gas_kWh,onbekend_gas_kWh)/1000)*0.902</f>
        <v>24961.16569650044</v>
      </c>
      <c r="E5" s="17">
        <f>B17*'E Balans VL '!I25/3.6*1000000/100</f>
        <v>32.084614529941113</v>
      </c>
      <c r="F5" s="17">
        <f>B17*('E Balans VL '!L25/3.6*1000000+'E Balans VL '!N25/3.6*1000000)/100</f>
        <v>4547.9968442783565</v>
      </c>
      <c r="G5" s="18"/>
      <c r="H5" s="17"/>
      <c r="I5" s="17"/>
      <c r="J5" s="17">
        <f>('E Balans VL '!D25+'E Balans VL '!E25)/3.6*1000000*landbouw!B17/100</f>
        <v>179.12725768719304</v>
      </c>
      <c r="K5" s="17"/>
      <c r="L5" s="17">
        <f>L6*(-1)</f>
        <v>0</v>
      </c>
      <c r="M5" s="17"/>
      <c r="N5" s="17">
        <f>N6*(-1)</f>
        <v>0</v>
      </c>
      <c r="O5" s="17"/>
      <c r="P5" s="17"/>
      <c r="R5" s="32"/>
    </row>
    <row r="6" spans="1:18">
      <c r="A6" s="16" t="s">
        <v>491</v>
      </c>
      <c r="B6" s="17" t="s">
        <v>211</v>
      </c>
      <c r="C6" s="17">
        <f>'lokale energieproductie'!O91+'lokale energieproductie'!O60</f>
        <v>12947.142857142855</v>
      </c>
      <c r="D6" s="310">
        <f>('lokale energieproductie'!P60+'lokale energieproductie'!P91)*(-1)</f>
        <v>-25894.28571428571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1244.2571510299999</v>
      </c>
      <c r="C8" s="21">
        <f>C5+C6</f>
        <v>12947.142857142855</v>
      </c>
      <c r="D8" s="21">
        <f>MAX((D5+D6),0)</f>
        <v>0</v>
      </c>
      <c r="E8" s="21">
        <f>MAX((E5+E6),0)</f>
        <v>32.084614529941113</v>
      </c>
      <c r="F8" s="21">
        <f>MAX((F5+F6),0)</f>
        <v>4547.9968442783565</v>
      </c>
      <c r="G8" s="21"/>
      <c r="H8" s="21"/>
      <c r="I8" s="21"/>
      <c r="J8" s="21">
        <f>MAX((J5+J6),0)</f>
        <v>179.12725768719304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0.20938084374584573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260.52361211946356</v>
      </c>
      <c r="C12" s="23">
        <f ca="1">C8*C10</f>
        <v>3076.8504201680671</v>
      </c>
      <c r="D12" s="23">
        <f>D8*D10</f>
        <v>0</v>
      </c>
      <c r="E12" s="23">
        <f>E8*E10</f>
        <v>7.2832074982966333</v>
      </c>
      <c r="F12" s="23">
        <f>F8*F10</f>
        <v>1214.3151574223214</v>
      </c>
      <c r="G12" s="23"/>
      <c r="H12" s="23"/>
      <c r="I12" s="23"/>
      <c r="J12" s="23">
        <f>J8*J10</f>
        <v>63.411049221266332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0.17544850006979415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228.88933031627704</v>
      </c>
      <c r="C26" s="247">
        <f>B26*'GWP N2O_CH4'!B5</f>
        <v>4806.6759366418182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93.108196063819236</v>
      </c>
      <c r="C27" s="247">
        <f>B27*'GWP N2O_CH4'!B5</f>
        <v>1955.272117340204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2.5597781058124665</v>
      </c>
      <c r="C28" s="247">
        <f>B28*'GWP N2O_CH4'!B4</f>
        <v>793.53121280186463</v>
      </c>
      <c r="D28" s="50"/>
    </row>
    <row r="29" spans="1:4">
      <c r="A29" s="41" t="s">
        <v>277</v>
      </c>
      <c r="B29" s="247">
        <f>B34*'ha_N2O bodem landbouw'!B4</f>
        <v>7.974880902492929</v>
      </c>
      <c r="C29" s="247">
        <f>B29*'GWP N2O_CH4'!B4</f>
        <v>2472.2130797728082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1.7947815706955529E-3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4.4549576473503126E-5</v>
      </c>
      <c r="C5" s="463" t="s">
        <v>211</v>
      </c>
      <c r="D5" s="448">
        <f>SUM(D6:D11)</f>
        <v>9.9580607347136618E-5</v>
      </c>
      <c r="E5" s="448">
        <f>SUM(E6:E11)</f>
        <v>3.8473172245865142E-4</v>
      </c>
      <c r="F5" s="461" t="s">
        <v>211</v>
      </c>
      <c r="G5" s="448">
        <f>SUM(G6:G11)</f>
        <v>0.11432778300173219</v>
      </c>
      <c r="H5" s="448">
        <f>SUM(H6:H11)</f>
        <v>2.6762933757936886E-2</v>
      </c>
      <c r="I5" s="463" t="s">
        <v>211</v>
      </c>
      <c r="J5" s="463" t="s">
        <v>211</v>
      </c>
      <c r="K5" s="463" t="s">
        <v>211</v>
      </c>
      <c r="L5" s="463" t="s">
        <v>211</v>
      </c>
      <c r="M5" s="448">
        <f>SUM(M6:M11)</f>
        <v>4.4038924929814044E-3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3.7162257867707101E-5</v>
      </c>
      <c r="C6" s="449"/>
      <c r="D6" s="962">
        <f>vkm_2011_GW_PW*SUMIFS(TableVerdeelsleutelVkm[CNG],TableVerdeelsleutelVkm[Voertuigtype],"Lichte voertuigen")*SUMIFS(TableECFTransport[EnergieConsumptieFactor (PJ per km)],TableECFTransport[Index],CONCATENATE($A6,"_CNG_CNG"))</f>
        <v>7.3842057337104617E-5</v>
      </c>
      <c r="E6" s="962">
        <f>vkm_2011_GW_PW*SUMIFS(TableVerdeelsleutelVkm[LPG],TableVerdeelsleutelVkm[Voertuigtype],"Lichte voertuigen")*SUMIFS(TableECFTransport[EnergieConsumptieFactor (PJ per km)],TableECFTransport[Index],CONCATENATE($A6,"_LPG_LPG"))</f>
        <v>2.9059496601472311E-4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6.9093512023597398E-2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1.9991266410336758E-2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2.7759639580885579E-3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1.8960486646743713E-2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6.1250470557921672E-6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5.9741592325207929E-4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7.2120086613629033E-6</v>
      </c>
      <c r="C8" s="449"/>
      <c r="D8" s="451">
        <f>vkm_2011_NGW_PW*SUMIFS(TableVerdeelsleutelVkm[CNG],TableVerdeelsleutelVkm[Voertuigtype],"Lichte voertuigen")*SUMIFS(TableECFTransport[EnergieConsumptieFactor (PJ per km)],TableECFTransport[Index],CONCATENATE($A8,"_CNG_CNG"))</f>
        <v>2.5373888746055946E-5</v>
      </c>
      <c r="E8" s="451">
        <f>vkm_2011_NGW_PW*SUMIFS(TableVerdeelsleutelVkm[LPG],TableVerdeelsleutelVkm[Voertuigtype],"Lichte voertuigen")*SUMIFS(TableECFTransport[EnergieConsumptieFactor (PJ per km)],TableECFTransport[Index],CONCATENATE($A8,"_LPG_LPG"))</f>
        <v>9.2348556044625279E-5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2.0503975454332194E-2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6.661017354093586E-3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8.4563562607302965E-4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4.9097998746448308E-3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1.4999854924143905E-6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1.5469769957852047E-4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1.7530994443311662E-7</v>
      </c>
      <c r="C10" s="449"/>
      <c r="D10" s="451">
        <f>vkm_2011_SW_PW*SUMIFS(TableVerdeelsleutelVkm[CNG],TableVerdeelsleutelVkm[Voertuigtype],"Lichte voertuigen")*SUMIFS(TableECFTransport[EnergieConsumptieFactor (PJ per km)],TableECFTransport[Index],CONCATENATE($A10,"_CNG_CNG"))</f>
        <v>3.6466126397605106E-7</v>
      </c>
      <c r="E10" s="451">
        <f>vkm_2011_SW_PW*SUMIFS(TableVerdeelsleutelVkm[LPG],TableVerdeelsleutelVkm[Voertuigtype],"Lichte voertuigen")*SUMIFS(TableECFTransport[EnergieConsumptieFactor (PJ per km)],TableECFTransport[Index],CONCATENATE($A10,"_LPG_LPG"))</f>
        <v>1.7882003993030067E-6</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3.8086615360738251E-4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1.0285819122189767E-4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1.5081868445608695E-5</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4.7914284880666048E-4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1.6676973643602199E-7</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1.5097417543607464E-5</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12.374882353750868</v>
      </c>
      <c r="C14" s="21"/>
      <c r="D14" s="21">
        <f t="shared" ref="D14:M14" si="0">((D5)*10^9/3600)+D12</f>
        <v>27.661279818649064</v>
      </c>
      <c r="E14" s="21">
        <f t="shared" si="0"/>
        <v>106.86992290518094</v>
      </c>
      <c r="F14" s="21"/>
      <c r="G14" s="21">
        <f t="shared" si="0"/>
        <v>31757.717500481162</v>
      </c>
      <c r="H14" s="21">
        <f t="shared" si="0"/>
        <v>7434.1482660935799</v>
      </c>
      <c r="I14" s="21"/>
      <c r="J14" s="21"/>
      <c r="K14" s="21"/>
      <c r="L14" s="21"/>
      <c r="M14" s="21">
        <f t="shared" si="0"/>
        <v>1223.3034702726122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0.20938084374584573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2.5910633084839341</v>
      </c>
      <c r="C18" s="23"/>
      <c r="D18" s="23">
        <f t="shared" ref="D18:M18" si="1">D14*D16</f>
        <v>5.5875785233671111</v>
      </c>
      <c r="E18" s="23">
        <f t="shared" si="1"/>
        <v>24.259472499476075</v>
      </c>
      <c r="F18" s="23"/>
      <c r="G18" s="23">
        <f t="shared" si="1"/>
        <v>8479.3105726284703</v>
      </c>
      <c r="H18" s="23">
        <f t="shared" si="1"/>
        <v>1851.1029182573013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1.61806446078211E-3</v>
      </c>
      <c r="H50" s="321">
        <f t="shared" si="2"/>
        <v>0</v>
      </c>
      <c r="I50" s="321">
        <f t="shared" si="2"/>
        <v>0</v>
      </c>
      <c r="J50" s="321">
        <f t="shared" si="2"/>
        <v>0</v>
      </c>
      <c r="K50" s="321">
        <f t="shared" si="2"/>
        <v>0</v>
      </c>
      <c r="L50" s="321">
        <f t="shared" si="2"/>
        <v>0</v>
      </c>
      <c r="M50" s="321">
        <f t="shared" si="2"/>
        <v>5.0188739668631948E-5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1.61806446078211E-3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5.0188739668631948E-5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449.46235021725278</v>
      </c>
      <c r="H54" s="21">
        <f t="shared" si="3"/>
        <v>0</v>
      </c>
      <c r="I54" s="21">
        <f t="shared" si="3"/>
        <v>0</v>
      </c>
      <c r="J54" s="21">
        <f t="shared" si="3"/>
        <v>0</v>
      </c>
      <c r="K54" s="21">
        <f t="shared" si="3"/>
        <v>0</v>
      </c>
      <c r="L54" s="21">
        <f t="shared" si="3"/>
        <v>0</v>
      </c>
      <c r="M54" s="21">
        <f t="shared" si="3"/>
        <v>13.941316574619986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0.20938084374584573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120.0064475080065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2231.7438922676783</v>
      </c>
      <c r="C6" s="1203"/>
      <c r="D6" s="1188"/>
      <c r="E6" s="1188"/>
      <c r="F6" s="1206"/>
      <c r="G6" s="1209"/>
      <c r="H6" s="1200"/>
      <c r="I6" s="1188"/>
      <c r="J6" s="1188"/>
      <c r="K6" s="1188"/>
      <c r="L6" s="1192"/>
      <c r="M6" s="575"/>
      <c r="N6" s="1166"/>
      <c r="O6" s="1167"/>
      <c r="Q6" s="573"/>
      <c r="R6" s="1154"/>
      <c r="S6" s="1154"/>
    </row>
    <row r="7" spans="1:19" s="563" customFormat="1">
      <c r="A7" s="576" t="s">
        <v>252</v>
      </c>
      <c r="B7" s="577">
        <f>N57</f>
        <v>9087.7499999999982</v>
      </c>
      <c r="C7" s="578">
        <f>B100</f>
        <v>10691.470588235292</v>
      </c>
      <c r="D7" s="579"/>
      <c r="E7" s="579">
        <f>E100</f>
        <v>0</v>
      </c>
      <c r="F7" s="580"/>
      <c r="G7" s="581"/>
      <c r="H7" s="579">
        <f>I100</f>
        <v>0</v>
      </c>
      <c r="I7" s="579">
        <f>G100+F100</f>
        <v>0</v>
      </c>
      <c r="J7" s="579">
        <f>H100+D100+C100</f>
        <v>0</v>
      </c>
      <c r="K7" s="579"/>
      <c r="L7" s="582"/>
      <c r="M7" s="583">
        <f>C7*$C$11+D7*$D$11+E7*$E$11+F7*$F$11+G7*$G$11+H7*$H$11+I7*$I$11+J7*$J$11</f>
        <v>2159.677058823529</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11319.493892267677</v>
      </c>
      <c r="C9" s="594">
        <f t="shared" ref="C9:L9" si="0">SUM(C7:C8)</f>
        <v>10691.470588235292</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2159.677058823529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12982.499999999998</v>
      </c>
      <c r="C16" s="610">
        <f>B101</f>
        <v>15273.529411764704</v>
      </c>
      <c r="D16" s="611"/>
      <c r="E16" s="611">
        <f>E101</f>
        <v>0</v>
      </c>
      <c r="F16" s="612"/>
      <c r="G16" s="613"/>
      <c r="H16" s="610">
        <f>I101</f>
        <v>0</v>
      </c>
      <c r="I16" s="611">
        <f>G101+F101</f>
        <v>0</v>
      </c>
      <c r="J16" s="611">
        <f>H101+D101+C101</f>
        <v>0</v>
      </c>
      <c r="K16" s="611"/>
      <c r="L16" s="614"/>
      <c r="M16" s="615">
        <f>C16*$C$21+E16*$E$21+H16*$H$21+I16*$I$21+J16*$J$21+D16*$D$21+F16*$F$21+G16*$G$21+K16*$K$21+L16*$L$21</f>
        <v>3085.2529411764704</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12982.499999999998</v>
      </c>
      <c r="C19" s="593">
        <f>SUM(C16:C18)</f>
        <v>15273.529411764704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3085.2529411764704</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13012</v>
      </c>
      <c r="C27" s="851">
        <v>2270</v>
      </c>
      <c r="D27" s="672" t="s">
        <v>818</v>
      </c>
      <c r="E27" s="671" t="s">
        <v>819</v>
      </c>
      <c r="F27" s="671" t="s">
        <v>820</v>
      </c>
      <c r="G27" s="671" t="s">
        <v>821</v>
      </c>
      <c r="H27" s="671" t="s">
        <v>822</v>
      </c>
      <c r="I27" s="671" t="s">
        <v>823</v>
      </c>
      <c r="J27" s="850">
        <v>36797</v>
      </c>
      <c r="K27" s="850">
        <v>39356</v>
      </c>
      <c r="L27" s="671" t="s">
        <v>824</v>
      </c>
      <c r="M27" s="671">
        <v>5.5</v>
      </c>
      <c r="N27" s="671">
        <v>24.75</v>
      </c>
      <c r="O27" s="671">
        <v>35.357142857142861</v>
      </c>
      <c r="P27" s="671">
        <v>70.714285714285722</v>
      </c>
      <c r="Q27" s="671">
        <v>0</v>
      </c>
      <c r="R27" s="671">
        <v>0</v>
      </c>
      <c r="S27" s="671">
        <v>0</v>
      </c>
      <c r="T27" s="671">
        <v>0</v>
      </c>
      <c r="U27" s="671">
        <v>0</v>
      </c>
      <c r="V27" s="671">
        <v>0</v>
      </c>
      <c r="W27" s="671">
        <v>0</v>
      </c>
      <c r="X27" s="671">
        <v>1600</v>
      </c>
      <c r="Y27" s="671" t="s">
        <v>50</v>
      </c>
      <c r="Z27" s="673" t="s">
        <v>156</v>
      </c>
    </row>
    <row r="28" spans="1:26" s="625" customFormat="1" ht="25.5">
      <c r="A28" s="624"/>
      <c r="B28" s="851">
        <v>13012</v>
      </c>
      <c r="C28" s="851">
        <v>2270</v>
      </c>
      <c r="D28" s="672" t="s">
        <v>825</v>
      </c>
      <c r="E28" s="671" t="s">
        <v>826</v>
      </c>
      <c r="F28" s="671" t="s">
        <v>827</v>
      </c>
      <c r="G28" s="671" t="s">
        <v>821</v>
      </c>
      <c r="H28" s="671" t="s">
        <v>822</v>
      </c>
      <c r="I28" s="671" t="s">
        <v>826</v>
      </c>
      <c r="J28" s="850">
        <v>39989</v>
      </c>
      <c r="K28" s="850">
        <v>40014</v>
      </c>
      <c r="L28" s="671" t="s">
        <v>824</v>
      </c>
      <c r="M28" s="671">
        <v>2014</v>
      </c>
      <c r="N28" s="671">
        <v>9062.9999999999982</v>
      </c>
      <c r="O28" s="671">
        <v>12947.142857142855</v>
      </c>
      <c r="P28" s="671">
        <v>25894.28571428571</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2019.5</v>
      </c>
      <c r="N57" s="629">
        <f>SUM(N27:N56)</f>
        <v>9087.7499999999982</v>
      </c>
      <c r="O57" s="629">
        <f t="shared" ref="O57:W57" si="2">SUM(O27:O56)</f>
        <v>12982.499999999998</v>
      </c>
      <c r="P57" s="629">
        <f t="shared" si="2"/>
        <v>25964.999999999996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5.5</v>
      </c>
      <c r="N59" s="629">
        <f ca="1">SUMIF($Z$27:AB56,"tertiair",N27:N56)</f>
        <v>24.75</v>
      </c>
      <c r="O59" s="629">
        <f ca="1">SUMIF($Z$27:AC56,"tertiair",O27:O56)</f>
        <v>35.357142857142861</v>
      </c>
      <c r="P59" s="629">
        <f ca="1">SUMIF($Z$27:AD56,"tertiair",P27:P56)</f>
        <v>70.714285714285722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2014</v>
      </c>
      <c r="N60" s="634">
        <f t="shared" ref="N60:W60" si="4">SUMIF($Z$27:$Z$56,"landbouw",N27:N56)</f>
        <v>9062.9999999999982</v>
      </c>
      <c r="O60" s="634">
        <f t="shared" si="4"/>
        <v>12947.142857142855</v>
      </c>
      <c r="P60" s="634">
        <f t="shared" si="4"/>
        <v>25894.28571428571</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10691.470588235292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15273.529411764704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9277.1969644949986</v>
      </c>
      <c r="D10" s="718">
        <f ca="1">tertiair!C16</f>
        <v>35.357142857142861</v>
      </c>
      <c r="E10" s="718">
        <f ca="1">tertiair!D16</f>
        <v>10860.596714773834</v>
      </c>
      <c r="F10" s="718">
        <f>tertiair!E16</f>
        <v>191.31274101863778</v>
      </c>
      <c r="G10" s="718">
        <f ca="1">tertiair!F16</f>
        <v>2193.0442846441861</v>
      </c>
      <c r="H10" s="718">
        <f>tertiair!G16</f>
        <v>0</v>
      </c>
      <c r="I10" s="718">
        <f>tertiair!H16</f>
        <v>0</v>
      </c>
      <c r="J10" s="718">
        <f>tertiair!I16</f>
        <v>0</v>
      </c>
      <c r="K10" s="718">
        <f>tertiair!J16</f>
        <v>0</v>
      </c>
      <c r="L10" s="718">
        <f>tertiair!K16</f>
        <v>0</v>
      </c>
      <c r="M10" s="718">
        <f ca="1">tertiair!L16</f>
        <v>0</v>
      </c>
      <c r="N10" s="718">
        <f>tertiair!M16</f>
        <v>0</v>
      </c>
      <c r="O10" s="718">
        <f ca="1">tertiair!N16</f>
        <v>936.19217079712735</v>
      </c>
      <c r="P10" s="718">
        <f>tertiair!O16</f>
        <v>3.1266666666666669</v>
      </c>
      <c r="Q10" s="719">
        <f>tertiair!P16</f>
        <v>19.066666666666666</v>
      </c>
      <c r="R10" s="721">
        <f ca="1">SUM(C10:Q10)</f>
        <v>23515.893351919261</v>
      </c>
      <c r="S10" s="67"/>
    </row>
    <row r="11" spans="1:19" s="474" customFormat="1">
      <c r="A11" s="870" t="s">
        <v>225</v>
      </c>
      <c r="B11" s="875"/>
      <c r="C11" s="718">
        <f>huishoudens!B8</f>
        <v>14619.686866104948</v>
      </c>
      <c r="D11" s="718">
        <f>huishoudens!C8</f>
        <v>0</v>
      </c>
      <c r="E11" s="718">
        <f>huishoudens!D8</f>
        <v>41504.720570456004</v>
      </c>
      <c r="F11" s="718">
        <f>huishoudens!E8</f>
        <v>3373.433902621839</v>
      </c>
      <c r="G11" s="718">
        <f>huishoudens!F8</f>
        <v>2947.8348661409755</v>
      </c>
      <c r="H11" s="718">
        <f>huishoudens!G8</f>
        <v>0</v>
      </c>
      <c r="I11" s="718">
        <f>huishoudens!H8</f>
        <v>0</v>
      </c>
      <c r="J11" s="718">
        <f>huishoudens!I8</f>
        <v>0</v>
      </c>
      <c r="K11" s="718">
        <f>huishoudens!J8</f>
        <v>492.17782392266218</v>
      </c>
      <c r="L11" s="718">
        <f>huishoudens!K8</f>
        <v>0</v>
      </c>
      <c r="M11" s="718">
        <f>huishoudens!L8</f>
        <v>0</v>
      </c>
      <c r="N11" s="718">
        <f>huishoudens!M8</f>
        <v>0</v>
      </c>
      <c r="O11" s="718">
        <f>huishoudens!N8</f>
        <v>7856.2353330011329</v>
      </c>
      <c r="P11" s="718">
        <f>huishoudens!O8</f>
        <v>115.68666666666667</v>
      </c>
      <c r="Q11" s="719">
        <f>huishoudens!P8</f>
        <v>305.06666666666666</v>
      </c>
      <c r="R11" s="721">
        <f>SUM(C11:Q11)</f>
        <v>71214.842695580897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4274.7045582499995</v>
      </c>
      <c r="D13" s="718">
        <f>industrie!C18</f>
        <v>0</v>
      </c>
      <c r="E13" s="718">
        <f>industrie!D18</f>
        <v>1895.0995256642682</v>
      </c>
      <c r="F13" s="718">
        <f>industrie!E18</f>
        <v>331.90665851128659</v>
      </c>
      <c r="G13" s="718">
        <f>industrie!F18</f>
        <v>1343.5003180113713</v>
      </c>
      <c r="H13" s="718">
        <f>industrie!G18</f>
        <v>0</v>
      </c>
      <c r="I13" s="718">
        <f>industrie!H18</f>
        <v>0</v>
      </c>
      <c r="J13" s="718">
        <f>industrie!I18</f>
        <v>0</v>
      </c>
      <c r="K13" s="718">
        <f>industrie!J18</f>
        <v>25.824817125167616</v>
      </c>
      <c r="L13" s="718">
        <f>industrie!K18</f>
        <v>0</v>
      </c>
      <c r="M13" s="718">
        <f>industrie!L18</f>
        <v>0</v>
      </c>
      <c r="N13" s="718">
        <f>industrie!M18</f>
        <v>0</v>
      </c>
      <c r="O13" s="718">
        <f>industrie!N18</f>
        <v>943.31152901907922</v>
      </c>
      <c r="P13" s="718">
        <f>industrie!O18</f>
        <v>0</v>
      </c>
      <c r="Q13" s="719">
        <f>industrie!P18</f>
        <v>0</v>
      </c>
      <c r="R13" s="721">
        <f>SUM(C13:Q13)</f>
        <v>8814.3474065811733</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28171.588388849945</v>
      </c>
      <c r="D15" s="723">
        <f t="shared" ref="D15:Q15" ca="1" si="0">SUM(D9:D14)</f>
        <v>35.357142857142861</v>
      </c>
      <c r="E15" s="723">
        <f t="shared" ca="1" si="0"/>
        <v>54260.416810894108</v>
      </c>
      <c r="F15" s="723">
        <f t="shared" si="0"/>
        <v>3896.653302151763</v>
      </c>
      <c r="G15" s="723">
        <f t="shared" ca="1" si="0"/>
        <v>6484.3794687965328</v>
      </c>
      <c r="H15" s="723">
        <f t="shared" si="0"/>
        <v>0</v>
      </c>
      <c r="I15" s="723">
        <f t="shared" si="0"/>
        <v>0</v>
      </c>
      <c r="J15" s="723">
        <f t="shared" si="0"/>
        <v>0</v>
      </c>
      <c r="K15" s="723">
        <f t="shared" si="0"/>
        <v>518.0026410478298</v>
      </c>
      <c r="L15" s="723">
        <f t="shared" si="0"/>
        <v>0</v>
      </c>
      <c r="M15" s="723">
        <f t="shared" ca="1" si="0"/>
        <v>0</v>
      </c>
      <c r="N15" s="723">
        <f t="shared" si="0"/>
        <v>0</v>
      </c>
      <c r="O15" s="723">
        <f t="shared" ca="1" si="0"/>
        <v>9735.7390328173406</v>
      </c>
      <c r="P15" s="723">
        <f t="shared" si="0"/>
        <v>118.81333333333333</v>
      </c>
      <c r="Q15" s="724">
        <f t="shared" si="0"/>
        <v>324.13333333333333</v>
      </c>
      <c r="R15" s="725">
        <f ca="1">SUM(R9:R14)</f>
        <v>103545.08345408134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449.46235021725278</v>
      </c>
      <c r="I18" s="718">
        <f>transport!H54</f>
        <v>0</v>
      </c>
      <c r="J18" s="718">
        <f>transport!I54</f>
        <v>0</v>
      </c>
      <c r="K18" s="718">
        <f>transport!J54</f>
        <v>0</v>
      </c>
      <c r="L18" s="718">
        <f>transport!K54</f>
        <v>0</v>
      </c>
      <c r="M18" s="718">
        <f>transport!L54</f>
        <v>0</v>
      </c>
      <c r="N18" s="718">
        <f>transport!M54</f>
        <v>13.941316574619986</v>
      </c>
      <c r="O18" s="718">
        <f>transport!N54</f>
        <v>0</v>
      </c>
      <c r="P18" s="718">
        <f>transport!O54</f>
        <v>0</v>
      </c>
      <c r="Q18" s="719">
        <f>transport!P54</f>
        <v>0</v>
      </c>
      <c r="R18" s="721">
        <f>SUM(C18:Q18)</f>
        <v>463.40366679187275</v>
      </c>
      <c r="S18" s="67"/>
    </row>
    <row r="19" spans="1:19" s="474" customFormat="1" ht="15" thickBot="1">
      <c r="A19" s="870" t="s">
        <v>307</v>
      </c>
      <c r="B19" s="875"/>
      <c r="C19" s="727">
        <f>transport!B14</f>
        <v>12.374882353750868</v>
      </c>
      <c r="D19" s="727">
        <f>transport!C14</f>
        <v>0</v>
      </c>
      <c r="E19" s="727">
        <f>transport!D14</f>
        <v>27.661279818649064</v>
      </c>
      <c r="F19" s="727">
        <f>transport!E14</f>
        <v>106.86992290518094</v>
      </c>
      <c r="G19" s="727">
        <f>transport!F14</f>
        <v>0</v>
      </c>
      <c r="H19" s="727">
        <f>transport!G14</f>
        <v>31757.717500481162</v>
      </c>
      <c r="I19" s="727">
        <f>transport!H14</f>
        <v>7434.1482660935799</v>
      </c>
      <c r="J19" s="727">
        <f>transport!I14</f>
        <v>0</v>
      </c>
      <c r="K19" s="727">
        <f>transport!J14</f>
        <v>0</v>
      </c>
      <c r="L19" s="727">
        <f>transport!K14</f>
        <v>0</v>
      </c>
      <c r="M19" s="727">
        <f>transport!L14</f>
        <v>0</v>
      </c>
      <c r="N19" s="727">
        <f>transport!M14</f>
        <v>1223.3034702726122</v>
      </c>
      <c r="O19" s="727">
        <f>transport!N14</f>
        <v>0</v>
      </c>
      <c r="P19" s="727">
        <f>transport!O14</f>
        <v>0</v>
      </c>
      <c r="Q19" s="728">
        <f>transport!P14</f>
        <v>0</v>
      </c>
      <c r="R19" s="729">
        <f>SUM(C19:Q19)</f>
        <v>40562.075321924938</v>
      </c>
      <c r="S19" s="67"/>
    </row>
    <row r="20" spans="1:19" s="474" customFormat="1" ht="15.75" thickBot="1">
      <c r="A20" s="730" t="s">
        <v>230</v>
      </c>
      <c r="B20" s="878"/>
      <c r="C20" s="873">
        <f>SUM(C17:C19)</f>
        <v>12.374882353750868</v>
      </c>
      <c r="D20" s="731">
        <f t="shared" ref="D20:R20" si="1">SUM(D17:D19)</f>
        <v>0</v>
      </c>
      <c r="E20" s="731">
        <f t="shared" si="1"/>
        <v>27.661279818649064</v>
      </c>
      <c r="F20" s="731">
        <f t="shared" si="1"/>
        <v>106.86992290518094</v>
      </c>
      <c r="G20" s="731">
        <f t="shared" si="1"/>
        <v>0</v>
      </c>
      <c r="H20" s="731">
        <f t="shared" si="1"/>
        <v>32207.179850698416</v>
      </c>
      <c r="I20" s="731">
        <f t="shared" si="1"/>
        <v>7434.1482660935799</v>
      </c>
      <c r="J20" s="731">
        <f t="shared" si="1"/>
        <v>0</v>
      </c>
      <c r="K20" s="731">
        <f t="shared" si="1"/>
        <v>0</v>
      </c>
      <c r="L20" s="731">
        <f t="shared" si="1"/>
        <v>0</v>
      </c>
      <c r="M20" s="731">
        <f t="shared" si="1"/>
        <v>0</v>
      </c>
      <c r="N20" s="731">
        <f t="shared" si="1"/>
        <v>1237.2447868472323</v>
      </c>
      <c r="O20" s="731">
        <f t="shared" si="1"/>
        <v>0</v>
      </c>
      <c r="P20" s="731">
        <f t="shared" si="1"/>
        <v>0</v>
      </c>
      <c r="Q20" s="732">
        <f t="shared" si="1"/>
        <v>0</v>
      </c>
      <c r="R20" s="733">
        <f t="shared" si="1"/>
        <v>41025.478988716808</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1244.2571510299999</v>
      </c>
      <c r="D22" s="727">
        <f>+landbouw!C8</f>
        <v>12947.142857142855</v>
      </c>
      <c r="E22" s="727">
        <f>+landbouw!D8</f>
        <v>0</v>
      </c>
      <c r="F22" s="727">
        <f>+landbouw!E8</f>
        <v>32.084614529941113</v>
      </c>
      <c r="G22" s="727">
        <f>+landbouw!F8</f>
        <v>4547.9968442783565</v>
      </c>
      <c r="H22" s="727">
        <f>+landbouw!G8</f>
        <v>0</v>
      </c>
      <c r="I22" s="727">
        <f>+landbouw!H8</f>
        <v>0</v>
      </c>
      <c r="J22" s="727">
        <f>+landbouw!I8</f>
        <v>0</v>
      </c>
      <c r="K22" s="727">
        <f>+landbouw!J8</f>
        <v>179.12725768719304</v>
      </c>
      <c r="L22" s="727">
        <f>+landbouw!K8</f>
        <v>0</v>
      </c>
      <c r="M22" s="727">
        <f>+landbouw!L8</f>
        <v>0</v>
      </c>
      <c r="N22" s="727">
        <f>+landbouw!M8</f>
        <v>0</v>
      </c>
      <c r="O22" s="727">
        <f>+landbouw!N8</f>
        <v>0</v>
      </c>
      <c r="P22" s="727">
        <f>+landbouw!O8</f>
        <v>0</v>
      </c>
      <c r="Q22" s="728">
        <f>+landbouw!P8</f>
        <v>0</v>
      </c>
      <c r="R22" s="729">
        <f>SUM(C22:Q22)</f>
        <v>18950.608724668346</v>
      </c>
      <c r="S22" s="67"/>
    </row>
    <row r="23" spans="1:19" s="474" customFormat="1" ht="17.25" thickTop="1" thickBot="1">
      <c r="A23" s="734" t="s">
        <v>116</v>
      </c>
      <c r="B23" s="864"/>
      <c r="C23" s="735">
        <f ca="1">C20+C15+C22</f>
        <v>29428.220422233695</v>
      </c>
      <c r="D23" s="735">
        <f t="shared" ref="D23:Q23" ca="1" si="2">D20+D15+D22</f>
        <v>12982.499999999998</v>
      </c>
      <c r="E23" s="735">
        <f t="shared" ca="1" si="2"/>
        <v>54288.078090712756</v>
      </c>
      <c r="F23" s="735">
        <f t="shared" si="2"/>
        <v>4035.6078395868849</v>
      </c>
      <c r="G23" s="735">
        <f t="shared" ca="1" si="2"/>
        <v>11032.376313074888</v>
      </c>
      <c r="H23" s="735">
        <f t="shared" si="2"/>
        <v>32207.179850698416</v>
      </c>
      <c r="I23" s="735">
        <f t="shared" si="2"/>
        <v>7434.1482660935799</v>
      </c>
      <c r="J23" s="735">
        <f t="shared" si="2"/>
        <v>0</v>
      </c>
      <c r="K23" s="735">
        <f t="shared" si="2"/>
        <v>697.12989873502283</v>
      </c>
      <c r="L23" s="735">
        <f t="shared" si="2"/>
        <v>0</v>
      </c>
      <c r="M23" s="735">
        <f t="shared" ca="1" si="2"/>
        <v>0</v>
      </c>
      <c r="N23" s="735">
        <f t="shared" si="2"/>
        <v>1237.2447868472323</v>
      </c>
      <c r="O23" s="735">
        <f t="shared" ca="1" si="2"/>
        <v>9735.7390328173406</v>
      </c>
      <c r="P23" s="735">
        <f t="shared" si="2"/>
        <v>118.81333333333333</v>
      </c>
      <c r="Q23" s="736">
        <f t="shared" si="2"/>
        <v>324.13333333333333</v>
      </c>
      <c r="R23" s="737">
        <f ca="1">R20+R15+R22</f>
        <v>163521.1711674665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1942.4673280223617</v>
      </c>
      <c r="D36" s="718">
        <f ca="1">tertiair!C20</f>
        <v>8.4025210084033635</v>
      </c>
      <c r="E36" s="718">
        <f ca="1">tertiair!D20</f>
        <v>2193.8405363843144</v>
      </c>
      <c r="F36" s="718">
        <f>tertiair!E20</f>
        <v>43.42799221123078</v>
      </c>
      <c r="G36" s="718">
        <f ca="1">tertiair!F20</f>
        <v>585.54282399999772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4773.6812016263075</v>
      </c>
    </row>
    <row r="37" spans="1:18">
      <c r="A37" s="885" t="s">
        <v>225</v>
      </c>
      <c r="B37" s="892"/>
      <c r="C37" s="718">
        <f ca="1">huishoudens!B12</f>
        <v>3061.0823713251134</v>
      </c>
      <c r="D37" s="718">
        <f ca="1">huishoudens!C12</f>
        <v>0</v>
      </c>
      <c r="E37" s="718">
        <f>huishoudens!D12</f>
        <v>8383.953555232114</v>
      </c>
      <c r="F37" s="718">
        <f>huishoudens!E12</f>
        <v>765.76949589515743</v>
      </c>
      <c r="G37" s="718">
        <f>huishoudens!F12</f>
        <v>787.07190925964051</v>
      </c>
      <c r="H37" s="718">
        <f>huishoudens!G12</f>
        <v>0</v>
      </c>
      <c r="I37" s="718">
        <f>huishoudens!H12</f>
        <v>0</v>
      </c>
      <c r="J37" s="718">
        <f>huishoudens!I12</f>
        <v>0</v>
      </c>
      <c r="K37" s="718">
        <f>huishoudens!J12</f>
        <v>174.2309496686224</v>
      </c>
      <c r="L37" s="718">
        <f>huishoudens!K12</f>
        <v>0</v>
      </c>
      <c r="M37" s="718">
        <f>huishoudens!L12</f>
        <v>0</v>
      </c>
      <c r="N37" s="718">
        <f>huishoudens!M12</f>
        <v>0</v>
      </c>
      <c r="O37" s="718">
        <f>huishoudens!N12</f>
        <v>0</v>
      </c>
      <c r="P37" s="718">
        <f>huishoudens!O12</f>
        <v>0</v>
      </c>
      <c r="Q37" s="828">
        <f>huishoudens!P12</f>
        <v>0</v>
      </c>
      <c r="R37" s="917">
        <f ca="1">SUM(C37:Q37)</f>
        <v>13172.10828138065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895.04124717059767</v>
      </c>
      <c r="D39" s="718">
        <f ca="1">industrie!C22</f>
        <v>0</v>
      </c>
      <c r="E39" s="718">
        <f>industrie!D22</f>
        <v>382.81010418418219</v>
      </c>
      <c r="F39" s="718">
        <f>industrie!E22</f>
        <v>75.342811482062061</v>
      </c>
      <c r="G39" s="718">
        <f>industrie!F22</f>
        <v>358.71458490903615</v>
      </c>
      <c r="H39" s="718">
        <f>industrie!G22</f>
        <v>0</v>
      </c>
      <c r="I39" s="718">
        <f>industrie!H22</f>
        <v>0</v>
      </c>
      <c r="J39" s="718">
        <f>industrie!I22</f>
        <v>0</v>
      </c>
      <c r="K39" s="718">
        <f>industrie!J22</f>
        <v>9.1419852623093352</v>
      </c>
      <c r="L39" s="718">
        <f>industrie!K22</f>
        <v>0</v>
      </c>
      <c r="M39" s="718">
        <f>industrie!L22</f>
        <v>0</v>
      </c>
      <c r="N39" s="718">
        <f>industrie!M22</f>
        <v>0</v>
      </c>
      <c r="O39" s="718">
        <f>industrie!N22</f>
        <v>0</v>
      </c>
      <c r="P39" s="718">
        <f>industrie!O22</f>
        <v>0</v>
      </c>
      <c r="Q39" s="828">
        <f>industrie!P22</f>
        <v>0</v>
      </c>
      <c r="R39" s="918">
        <f ca="1">SUM(C39:Q39)</f>
        <v>1721.0507330081873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5898.590946518073</v>
      </c>
      <c r="D41" s="763">
        <f t="shared" ref="D41:R41" ca="1" si="4">SUM(D35:D40)</f>
        <v>8.4025210084033635</v>
      </c>
      <c r="E41" s="763">
        <f t="shared" ca="1" si="4"/>
        <v>10960.60419580061</v>
      </c>
      <c r="F41" s="763">
        <f t="shared" si="4"/>
        <v>884.54029958845024</v>
      </c>
      <c r="G41" s="763">
        <f t="shared" ca="1" si="4"/>
        <v>1731.3293181686745</v>
      </c>
      <c r="H41" s="763">
        <f t="shared" si="4"/>
        <v>0</v>
      </c>
      <c r="I41" s="763">
        <f t="shared" si="4"/>
        <v>0</v>
      </c>
      <c r="J41" s="763">
        <f t="shared" si="4"/>
        <v>0</v>
      </c>
      <c r="K41" s="763">
        <f t="shared" si="4"/>
        <v>183.37293493093173</v>
      </c>
      <c r="L41" s="763">
        <f t="shared" si="4"/>
        <v>0</v>
      </c>
      <c r="M41" s="763">
        <f t="shared" ca="1" si="4"/>
        <v>0</v>
      </c>
      <c r="N41" s="763">
        <f t="shared" si="4"/>
        <v>0</v>
      </c>
      <c r="O41" s="763">
        <f t="shared" ca="1" si="4"/>
        <v>0</v>
      </c>
      <c r="P41" s="763">
        <f t="shared" si="4"/>
        <v>0</v>
      </c>
      <c r="Q41" s="764">
        <f t="shared" si="4"/>
        <v>0</v>
      </c>
      <c r="R41" s="765">
        <f t="shared" ca="1" si="4"/>
        <v>19666.840216015145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120.0064475080065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120.0064475080065</v>
      </c>
    </row>
    <row r="45" spans="1:18" ht="15" thickBot="1">
      <c r="A45" s="888" t="s">
        <v>307</v>
      </c>
      <c r="B45" s="898"/>
      <c r="C45" s="727">
        <f ca="1">transport!B18</f>
        <v>2.5910633084839341</v>
      </c>
      <c r="D45" s="727">
        <f>transport!C18</f>
        <v>0</v>
      </c>
      <c r="E45" s="727">
        <f>transport!D18</f>
        <v>5.5875785233671111</v>
      </c>
      <c r="F45" s="727">
        <f>transport!E18</f>
        <v>24.259472499476075</v>
      </c>
      <c r="G45" s="727">
        <f>transport!F18</f>
        <v>0</v>
      </c>
      <c r="H45" s="727">
        <f>transport!G18</f>
        <v>8479.3105726284703</v>
      </c>
      <c r="I45" s="727">
        <f>transport!H18</f>
        <v>1851.1029182573013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10362.8516052171</v>
      </c>
    </row>
    <row r="46" spans="1:18" ht="15.75" thickBot="1">
      <c r="A46" s="886" t="s">
        <v>230</v>
      </c>
      <c r="B46" s="899"/>
      <c r="C46" s="763">
        <f t="shared" ref="C46:R46" ca="1" si="5">SUM(C43:C45)</f>
        <v>2.5910633084839341</v>
      </c>
      <c r="D46" s="763">
        <f t="shared" ca="1" si="5"/>
        <v>0</v>
      </c>
      <c r="E46" s="763">
        <f t="shared" si="5"/>
        <v>5.5875785233671111</v>
      </c>
      <c r="F46" s="763">
        <f t="shared" si="5"/>
        <v>24.259472499476075</v>
      </c>
      <c r="G46" s="763">
        <f t="shared" si="5"/>
        <v>0</v>
      </c>
      <c r="H46" s="763">
        <f t="shared" si="5"/>
        <v>8599.3170201364774</v>
      </c>
      <c r="I46" s="763">
        <f t="shared" si="5"/>
        <v>1851.1029182573013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10482.858052725107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260.52361211946356</v>
      </c>
      <c r="D48" s="718">
        <f ca="1">+landbouw!C12</f>
        <v>3076.8504201680671</v>
      </c>
      <c r="E48" s="718">
        <f>+landbouw!D12</f>
        <v>0</v>
      </c>
      <c r="F48" s="718">
        <f>+landbouw!E12</f>
        <v>7.2832074982966333</v>
      </c>
      <c r="G48" s="718">
        <f>+landbouw!F12</f>
        <v>1214.3151574223214</v>
      </c>
      <c r="H48" s="718">
        <f>+landbouw!G12</f>
        <v>0</v>
      </c>
      <c r="I48" s="718">
        <f>+landbouw!H12</f>
        <v>0</v>
      </c>
      <c r="J48" s="718">
        <f>+landbouw!I12</f>
        <v>0</v>
      </c>
      <c r="K48" s="718">
        <f>+landbouw!J12</f>
        <v>63.411049221266332</v>
      </c>
      <c r="L48" s="718">
        <f>+landbouw!K12</f>
        <v>0</v>
      </c>
      <c r="M48" s="718">
        <f>+landbouw!L12</f>
        <v>0</v>
      </c>
      <c r="N48" s="718">
        <f>+landbouw!M12</f>
        <v>0</v>
      </c>
      <c r="O48" s="718">
        <f>+landbouw!N12</f>
        <v>0</v>
      </c>
      <c r="P48" s="718">
        <f>+landbouw!O12</f>
        <v>0</v>
      </c>
      <c r="Q48" s="719">
        <f>+landbouw!P12</f>
        <v>0</v>
      </c>
      <c r="R48" s="761">
        <f ca="1">SUM(C48:Q48)</f>
        <v>4622.383446429415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6161.705621946021</v>
      </c>
      <c r="D53" s="773">
        <f t="shared" ref="D53:Q53" ca="1" si="6">D41+D46+D48</f>
        <v>3085.2529411764704</v>
      </c>
      <c r="E53" s="773">
        <f t="shared" ca="1" si="6"/>
        <v>10966.191774323977</v>
      </c>
      <c r="F53" s="773">
        <f t="shared" si="6"/>
        <v>916.0829795862229</v>
      </c>
      <c r="G53" s="773">
        <f t="shared" ca="1" si="6"/>
        <v>2945.6444755909961</v>
      </c>
      <c r="H53" s="773">
        <f t="shared" si="6"/>
        <v>8599.3170201364774</v>
      </c>
      <c r="I53" s="773">
        <f t="shared" si="6"/>
        <v>1851.1029182573013</v>
      </c>
      <c r="J53" s="773">
        <f t="shared" si="6"/>
        <v>0</v>
      </c>
      <c r="K53" s="773">
        <f t="shared" si="6"/>
        <v>246.78398415219806</v>
      </c>
      <c r="L53" s="773">
        <f t="shared" si="6"/>
        <v>0</v>
      </c>
      <c r="M53" s="773">
        <f t="shared" ca="1" si="6"/>
        <v>0</v>
      </c>
      <c r="N53" s="773">
        <f t="shared" si="6"/>
        <v>0</v>
      </c>
      <c r="O53" s="773">
        <f t="shared" ca="1" si="6"/>
        <v>0</v>
      </c>
      <c r="P53" s="773">
        <f>P41+P46+P48</f>
        <v>0</v>
      </c>
      <c r="Q53" s="774">
        <f t="shared" si="6"/>
        <v>0</v>
      </c>
      <c r="R53" s="775">
        <f ca="1">R41+R46+R48</f>
        <v>34772.081715169668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0.20938084374584578</v>
      </c>
      <c r="D55" s="836">
        <f t="shared" ca="1" si="7"/>
        <v>0.23764705882352943</v>
      </c>
      <c r="E55" s="836">
        <f t="shared" ca="1" si="7"/>
        <v>0.20200000000000001</v>
      </c>
      <c r="F55" s="836">
        <f t="shared" si="7"/>
        <v>0.22700000000000001</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2231.7438922676783</v>
      </c>
      <c r="C66" s="795">
        <f>'lokale energieproductie'!B6</f>
        <v>2231.7438922676783</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9087.7499999999982</v>
      </c>
      <c r="C67" s="794">
        <f>B67*IFERROR(SUM(J67:L67)/SUM(D67:M67),0)</f>
        <v>0</v>
      </c>
      <c r="D67" s="826">
        <f>'lokale energieproductie'!C7</f>
        <v>10691.470588235292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2159.677058823529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11319.493892267677</v>
      </c>
      <c r="C69" s="803">
        <f>SUM(C64:C68)</f>
        <v>2231.7438922676783</v>
      </c>
      <c r="D69" s="804">
        <f t="shared" ref="D69:M69" si="8">SUM(D67:D68)</f>
        <v>10691.470588235292</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2159.677058823529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12982.499999999998</v>
      </c>
      <c r="C78" s="817">
        <f>B78*IFERROR(SUM(I78:L78)/SUM(D78:M78),0)</f>
        <v>0</v>
      </c>
      <c r="D78" s="832">
        <f>'lokale energieproductie'!C16</f>
        <v>15273.529411764704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3085.2529411764704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12982.499999999998</v>
      </c>
      <c r="C81" s="803">
        <f>SUM(C78:C80)</f>
        <v>0</v>
      </c>
      <c r="D81" s="803">
        <f t="shared" ref="D81:P81" si="9">SUM(D78:D80)</f>
        <v>15273.529411764704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3085.2529411764704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14619.686866104948</v>
      </c>
      <c r="C4" s="478">
        <f>huishoudens!C8</f>
        <v>0</v>
      </c>
      <c r="D4" s="478">
        <f>huishoudens!D8</f>
        <v>41504.720570456004</v>
      </c>
      <c r="E4" s="478">
        <f>huishoudens!E8</f>
        <v>3373.433902621839</v>
      </c>
      <c r="F4" s="478">
        <f>huishoudens!F8</f>
        <v>2947.8348661409755</v>
      </c>
      <c r="G4" s="478">
        <f>huishoudens!G8</f>
        <v>0</v>
      </c>
      <c r="H4" s="478">
        <f>huishoudens!H8</f>
        <v>0</v>
      </c>
      <c r="I4" s="478">
        <f>huishoudens!I8</f>
        <v>0</v>
      </c>
      <c r="J4" s="478">
        <f>huishoudens!J8</f>
        <v>492.17782392266218</v>
      </c>
      <c r="K4" s="478">
        <f>huishoudens!K8</f>
        <v>0</v>
      </c>
      <c r="L4" s="478">
        <f>huishoudens!L8</f>
        <v>0</v>
      </c>
      <c r="M4" s="478">
        <f>huishoudens!M8</f>
        <v>0</v>
      </c>
      <c r="N4" s="478">
        <f>huishoudens!N8</f>
        <v>7856.2353330011329</v>
      </c>
      <c r="O4" s="478">
        <f>huishoudens!O8</f>
        <v>115.68666666666667</v>
      </c>
      <c r="P4" s="479">
        <f>huishoudens!P8</f>
        <v>305.06666666666666</v>
      </c>
      <c r="Q4" s="480">
        <f>SUM(B4:P4)</f>
        <v>71214.842695580897</v>
      </c>
    </row>
    <row r="5" spans="1:17">
      <c r="A5" s="477" t="s">
        <v>156</v>
      </c>
      <c r="B5" s="478">
        <f ca="1">tertiair!B16</f>
        <v>8855.2699644949989</v>
      </c>
      <c r="C5" s="478">
        <f ca="1">tertiair!C16</f>
        <v>35.357142857142861</v>
      </c>
      <c r="D5" s="478">
        <f ca="1">tertiair!D16</f>
        <v>10860.596714773834</v>
      </c>
      <c r="E5" s="478">
        <f>tertiair!E16</f>
        <v>191.31274101863778</v>
      </c>
      <c r="F5" s="478">
        <f ca="1">tertiair!F16</f>
        <v>2193.0442846441861</v>
      </c>
      <c r="G5" s="478">
        <f>tertiair!G16</f>
        <v>0</v>
      </c>
      <c r="H5" s="478">
        <f>tertiair!H16</f>
        <v>0</v>
      </c>
      <c r="I5" s="478">
        <f>tertiair!I16</f>
        <v>0</v>
      </c>
      <c r="J5" s="478">
        <f>tertiair!J16</f>
        <v>0</v>
      </c>
      <c r="K5" s="478">
        <f>tertiair!K16</f>
        <v>0</v>
      </c>
      <c r="L5" s="478">
        <f ca="1">tertiair!L16</f>
        <v>0</v>
      </c>
      <c r="M5" s="478">
        <f>tertiair!M16</f>
        <v>0</v>
      </c>
      <c r="N5" s="478">
        <f ca="1">tertiair!N16</f>
        <v>936.19217079712735</v>
      </c>
      <c r="O5" s="478">
        <f>tertiair!O16</f>
        <v>3.1266666666666669</v>
      </c>
      <c r="P5" s="479">
        <f>tertiair!P16</f>
        <v>19.066666666666666</v>
      </c>
      <c r="Q5" s="477">
        <f t="shared" ref="Q5:Q13" ca="1" si="0">SUM(B5:P5)</f>
        <v>23093.966351919262</v>
      </c>
    </row>
    <row r="6" spans="1:17">
      <c r="A6" s="477" t="s">
        <v>194</v>
      </c>
      <c r="B6" s="478">
        <f>'openbare verlichting'!B8</f>
        <v>421.92700000000002</v>
      </c>
      <c r="C6" s="478"/>
      <c r="D6" s="478"/>
      <c r="E6" s="478"/>
      <c r="F6" s="478"/>
      <c r="G6" s="478"/>
      <c r="H6" s="478"/>
      <c r="I6" s="478"/>
      <c r="J6" s="478"/>
      <c r="K6" s="478"/>
      <c r="L6" s="478"/>
      <c r="M6" s="478"/>
      <c r="N6" s="478"/>
      <c r="O6" s="478"/>
      <c r="P6" s="479"/>
      <c r="Q6" s="477">
        <f t="shared" si="0"/>
        <v>421.92700000000002</v>
      </c>
    </row>
    <row r="7" spans="1:17">
      <c r="A7" s="477" t="s">
        <v>112</v>
      </c>
      <c r="B7" s="478">
        <f>landbouw!B8</f>
        <v>1244.2571510299999</v>
      </c>
      <c r="C7" s="478">
        <f>landbouw!C8</f>
        <v>12947.142857142855</v>
      </c>
      <c r="D7" s="478">
        <f>landbouw!D8</f>
        <v>0</v>
      </c>
      <c r="E7" s="478">
        <f>landbouw!E8</f>
        <v>32.084614529941113</v>
      </c>
      <c r="F7" s="478">
        <f>landbouw!F8</f>
        <v>4547.9968442783565</v>
      </c>
      <c r="G7" s="478">
        <f>landbouw!G8</f>
        <v>0</v>
      </c>
      <c r="H7" s="478">
        <f>landbouw!H8</f>
        <v>0</v>
      </c>
      <c r="I7" s="478">
        <f>landbouw!I8</f>
        <v>0</v>
      </c>
      <c r="J7" s="478">
        <f>landbouw!J8</f>
        <v>179.12725768719304</v>
      </c>
      <c r="K7" s="478">
        <f>landbouw!K8</f>
        <v>0</v>
      </c>
      <c r="L7" s="478">
        <f>landbouw!L8</f>
        <v>0</v>
      </c>
      <c r="M7" s="478">
        <f>landbouw!M8</f>
        <v>0</v>
      </c>
      <c r="N7" s="478">
        <f>landbouw!N8</f>
        <v>0</v>
      </c>
      <c r="O7" s="478">
        <f>landbouw!O8</f>
        <v>0</v>
      </c>
      <c r="P7" s="479">
        <f>landbouw!P8</f>
        <v>0</v>
      </c>
      <c r="Q7" s="477">
        <f t="shared" si="0"/>
        <v>18950.608724668346</v>
      </c>
    </row>
    <row r="8" spans="1:17">
      <c r="A8" s="477" t="s">
        <v>638</v>
      </c>
      <c r="B8" s="478">
        <f>industrie!B18</f>
        <v>4274.7045582499995</v>
      </c>
      <c r="C8" s="478">
        <f>industrie!C18</f>
        <v>0</v>
      </c>
      <c r="D8" s="478">
        <f>industrie!D18</f>
        <v>1895.0995256642682</v>
      </c>
      <c r="E8" s="478">
        <f>industrie!E18</f>
        <v>331.90665851128659</v>
      </c>
      <c r="F8" s="478">
        <f>industrie!F18</f>
        <v>1343.5003180113713</v>
      </c>
      <c r="G8" s="478">
        <f>industrie!G18</f>
        <v>0</v>
      </c>
      <c r="H8" s="478">
        <f>industrie!H18</f>
        <v>0</v>
      </c>
      <c r="I8" s="478">
        <f>industrie!I18</f>
        <v>0</v>
      </c>
      <c r="J8" s="478">
        <f>industrie!J18</f>
        <v>25.824817125167616</v>
      </c>
      <c r="K8" s="478">
        <f>industrie!K18</f>
        <v>0</v>
      </c>
      <c r="L8" s="478">
        <f>industrie!L18</f>
        <v>0</v>
      </c>
      <c r="M8" s="478">
        <f>industrie!M18</f>
        <v>0</v>
      </c>
      <c r="N8" s="478">
        <f>industrie!N18</f>
        <v>943.31152901907922</v>
      </c>
      <c r="O8" s="478">
        <f>industrie!O18</f>
        <v>0</v>
      </c>
      <c r="P8" s="479">
        <f>industrie!P18</f>
        <v>0</v>
      </c>
      <c r="Q8" s="477">
        <f t="shared" si="0"/>
        <v>8814.3474065811733</v>
      </c>
    </row>
    <row r="9" spans="1:17" s="483" customFormat="1">
      <c r="A9" s="481" t="s">
        <v>564</v>
      </c>
      <c r="B9" s="482">
        <f>transport!B14</f>
        <v>12.374882353750868</v>
      </c>
      <c r="C9" s="482">
        <f>transport!C14</f>
        <v>0</v>
      </c>
      <c r="D9" s="482">
        <f>transport!D14</f>
        <v>27.661279818649064</v>
      </c>
      <c r="E9" s="482">
        <f>transport!E14</f>
        <v>106.86992290518094</v>
      </c>
      <c r="F9" s="482">
        <f>transport!F14</f>
        <v>0</v>
      </c>
      <c r="G9" s="482">
        <f>transport!G14</f>
        <v>31757.717500481162</v>
      </c>
      <c r="H9" s="482">
        <f>transport!H14</f>
        <v>7434.1482660935799</v>
      </c>
      <c r="I9" s="482">
        <f>transport!I14</f>
        <v>0</v>
      </c>
      <c r="J9" s="482">
        <f>transport!J14</f>
        <v>0</v>
      </c>
      <c r="K9" s="482">
        <f>transport!K14</f>
        <v>0</v>
      </c>
      <c r="L9" s="482">
        <f>transport!L14</f>
        <v>0</v>
      </c>
      <c r="M9" s="482">
        <f>transport!M14</f>
        <v>1223.3034702726122</v>
      </c>
      <c r="N9" s="482">
        <f>transport!N14</f>
        <v>0</v>
      </c>
      <c r="O9" s="482">
        <f>transport!O14</f>
        <v>0</v>
      </c>
      <c r="P9" s="482">
        <f>transport!P14</f>
        <v>0</v>
      </c>
      <c r="Q9" s="481">
        <f>SUM(B9:P9)</f>
        <v>40562.075321924938</v>
      </c>
    </row>
    <row r="10" spans="1:17">
      <c r="A10" s="477" t="s">
        <v>554</v>
      </c>
      <c r="B10" s="478">
        <f>transport!B54</f>
        <v>0</v>
      </c>
      <c r="C10" s="478">
        <f>transport!C54</f>
        <v>0</v>
      </c>
      <c r="D10" s="478">
        <f>transport!D54</f>
        <v>0</v>
      </c>
      <c r="E10" s="478">
        <f>transport!E54</f>
        <v>0</v>
      </c>
      <c r="F10" s="478">
        <f>transport!F54</f>
        <v>0</v>
      </c>
      <c r="G10" s="478">
        <f>transport!G54</f>
        <v>449.46235021725278</v>
      </c>
      <c r="H10" s="478">
        <f>transport!H54</f>
        <v>0</v>
      </c>
      <c r="I10" s="478">
        <f>transport!I54</f>
        <v>0</v>
      </c>
      <c r="J10" s="478">
        <f>transport!J54</f>
        <v>0</v>
      </c>
      <c r="K10" s="478">
        <f>transport!K54</f>
        <v>0</v>
      </c>
      <c r="L10" s="478">
        <f>transport!L54</f>
        <v>0</v>
      </c>
      <c r="M10" s="478">
        <f>transport!M54</f>
        <v>13.941316574619986</v>
      </c>
      <c r="N10" s="478">
        <f>transport!N54</f>
        <v>0</v>
      </c>
      <c r="O10" s="478">
        <f>transport!O54</f>
        <v>0</v>
      </c>
      <c r="P10" s="479">
        <f>transport!P54</f>
        <v>0</v>
      </c>
      <c r="Q10" s="477">
        <f t="shared" si="0"/>
        <v>463.40366679187275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29428.220422233699</v>
      </c>
      <c r="C14" s="488">
        <f t="shared" ref="C14:Q14" ca="1" si="1">SUM(C4:C13)</f>
        <v>12982.499999999998</v>
      </c>
      <c r="D14" s="488">
        <f t="shared" ca="1" si="1"/>
        <v>54288.078090712756</v>
      </c>
      <c r="E14" s="488">
        <f t="shared" si="1"/>
        <v>4035.6078395868849</v>
      </c>
      <c r="F14" s="488">
        <f t="shared" ca="1" si="1"/>
        <v>11032.376313074888</v>
      </c>
      <c r="G14" s="488">
        <f t="shared" si="1"/>
        <v>32207.179850698416</v>
      </c>
      <c r="H14" s="488">
        <f t="shared" si="1"/>
        <v>7434.1482660935799</v>
      </c>
      <c r="I14" s="488">
        <f t="shared" si="1"/>
        <v>0</v>
      </c>
      <c r="J14" s="488">
        <f t="shared" si="1"/>
        <v>697.12989873502295</v>
      </c>
      <c r="K14" s="488">
        <f t="shared" si="1"/>
        <v>0</v>
      </c>
      <c r="L14" s="488">
        <f t="shared" ca="1" si="1"/>
        <v>0</v>
      </c>
      <c r="M14" s="488">
        <f t="shared" si="1"/>
        <v>1237.2447868472323</v>
      </c>
      <c r="N14" s="488">
        <f t="shared" ca="1" si="1"/>
        <v>9735.7390328173406</v>
      </c>
      <c r="O14" s="488">
        <f t="shared" si="1"/>
        <v>118.81333333333333</v>
      </c>
      <c r="P14" s="489">
        <f t="shared" si="1"/>
        <v>324.13333333333333</v>
      </c>
      <c r="Q14" s="489">
        <f t="shared" ca="1" si="1"/>
        <v>163521.1711674665</v>
      </c>
    </row>
    <row r="16" spans="1:17">
      <c r="A16" s="491" t="s">
        <v>559</v>
      </c>
      <c r="B16" s="841">
        <f ca="1">huishoudens!B10</f>
        <v>0.20938084374584573</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3061.0823713251134</v>
      </c>
      <c r="C21" s="478">
        <f t="shared" ref="C21:C30" ca="1" si="3">C4*$C$16</f>
        <v>0</v>
      </c>
      <c r="D21" s="478">
        <f t="shared" ref="D21:D30" si="4">D4*$D$16</f>
        <v>8383.953555232114</v>
      </c>
      <c r="E21" s="478">
        <f t="shared" ref="E21:E30" si="5">E4*$E$16</f>
        <v>765.76949589515743</v>
      </c>
      <c r="F21" s="478">
        <f t="shared" ref="F21:F30" si="6">F4*$F$16</f>
        <v>787.07190925964051</v>
      </c>
      <c r="G21" s="478">
        <f t="shared" ref="G21:G30" si="7">G4*$G$16</f>
        <v>0</v>
      </c>
      <c r="H21" s="478">
        <f t="shared" ref="H21:H30" si="8">H4*$H$16</f>
        <v>0</v>
      </c>
      <c r="I21" s="478">
        <f t="shared" ref="I21:I30" si="9">I4*$I$16</f>
        <v>0</v>
      </c>
      <c r="J21" s="478">
        <f t="shared" ref="J21:J30" si="10">J4*$J$16</f>
        <v>174.2309496686224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13172.10828138065</v>
      </c>
    </row>
    <row r="22" spans="1:17">
      <c r="A22" s="477" t="s">
        <v>156</v>
      </c>
      <c r="B22" s="478">
        <f t="shared" ca="1" si="2"/>
        <v>1854.1238967632082</v>
      </c>
      <c r="C22" s="478">
        <f t="shared" ca="1" si="3"/>
        <v>8.4025210084033635</v>
      </c>
      <c r="D22" s="478">
        <f t="shared" ca="1" si="4"/>
        <v>2193.8405363843144</v>
      </c>
      <c r="E22" s="478">
        <f t="shared" si="5"/>
        <v>43.42799221123078</v>
      </c>
      <c r="F22" s="478">
        <f t="shared" ca="1" si="6"/>
        <v>585.54282399999772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4685.337770367154</v>
      </c>
    </row>
    <row r="23" spans="1:17">
      <c r="A23" s="477" t="s">
        <v>194</v>
      </c>
      <c r="B23" s="478">
        <f t="shared" ca="1" si="2"/>
        <v>88.343431259153462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88.343431259153462</v>
      </c>
    </row>
    <row r="24" spans="1:17">
      <c r="A24" s="477" t="s">
        <v>112</v>
      </c>
      <c r="B24" s="478">
        <f t="shared" ca="1" si="2"/>
        <v>260.52361211946356</v>
      </c>
      <c r="C24" s="478">
        <f t="shared" ca="1" si="3"/>
        <v>3076.8504201680671</v>
      </c>
      <c r="D24" s="478">
        <f t="shared" si="4"/>
        <v>0</v>
      </c>
      <c r="E24" s="478">
        <f t="shared" si="5"/>
        <v>7.2832074982966333</v>
      </c>
      <c r="F24" s="478">
        <f t="shared" si="6"/>
        <v>1214.3151574223214</v>
      </c>
      <c r="G24" s="478">
        <f t="shared" si="7"/>
        <v>0</v>
      </c>
      <c r="H24" s="478">
        <f t="shared" si="8"/>
        <v>0</v>
      </c>
      <c r="I24" s="478">
        <f t="shared" si="9"/>
        <v>0</v>
      </c>
      <c r="J24" s="478">
        <f t="shared" si="10"/>
        <v>63.411049221266332</v>
      </c>
      <c r="K24" s="478">
        <f t="shared" si="11"/>
        <v>0</v>
      </c>
      <c r="L24" s="478">
        <f t="shared" si="12"/>
        <v>0</v>
      </c>
      <c r="M24" s="478">
        <f t="shared" si="13"/>
        <v>0</v>
      </c>
      <c r="N24" s="478">
        <f t="shared" si="14"/>
        <v>0</v>
      </c>
      <c r="O24" s="478">
        <f t="shared" si="15"/>
        <v>0</v>
      </c>
      <c r="P24" s="479">
        <f t="shared" si="16"/>
        <v>0</v>
      </c>
      <c r="Q24" s="477">
        <f t="shared" ca="1" si="17"/>
        <v>4622.383446429415</v>
      </c>
    </row>
    <row r="25" spans="1:17">
      <c r="A25" s="477" t="s">
        <v>638</v>
      </c>
      <c r="B25" s="478">
        <f t="shared" ca="1" si="2"/>
        <v>895.04124717059767</v>
      </c>
      <c r="C25" s="478">
        <f t="shared" ca="1" si="3"/>
        <v>0</v>
      </c>
      <c r="D25" s="478">
        <f t="shared" si="4"/>
        <v>382.81010418418219</v>
      </c>
      <c r="E25" s="478">
        <f t="shared" si="5"/>
        <v>75.342811482062061</v>
      </c>
      <c r="F25" s="478">
        <f t="shared" si="6"/>
        <v>358.71458490903615</v>
      </c>
      <c r="G25" s="478">
        <f t="shared" si="7"/>
        <v>0</v>
      </c>
      <c r="H25" s="478">
        <f t="shared" si="8"/>
        <v>0</v>
      </c>
      <c r="I25" s="478">
        <f t="shared" si="9"/>
        <v>0</v>
      </c>
      <c r="J25" s="478">
        <f t="shared" si="10"/>
        <v>9.1419852623093352</v>
      </c>
      <c r="K25" s="478">
        <f t="shared" si="11"/>
        <v>0</v>
      </c>
      <c r="L25" s="478">
        <f t="shared" si="12"/>
        <v>0</v>
      </c>
      <c r="M25" s="478">
        <f t="shared" si="13"/>
        <v>0</v>
      </c>
      <c r="N25" s="478">
        <f t="shared" si="14"/>
        <v>0</v>
      </c>
      <c r="O25" s="478">
        <f t="shared" si="15"/>
        <v>0</v>
      </c>
      <c r="P25" s="479">
        <f t="shared" si="16"/>
        <v>0</v>
      </c>
      <c r="Q25" s="477">
        <f t="shared" ca="1" si="17"/>
        <v>1721.0507330081873</v>
      </c>
    </row>
    <row r="26" spans="1:17" s="483" customFormat="1">
      <c r="A26" s="481" t="s">
        <v>564</v>
      </c>
      <c r="B26" s="835">
        <f t="shared" ca="1" si="2"/>
        <v>2.5910633084839341</v>
      </c>
      <c r="C26" s="482">
        <f t="shared" ca="1" si="3"/>
        <v>0</v>
      </c>
      <c r="D26" s="482">
        <f t="shared" si="4"/>
        <v>5.5875785233671111</v>
      </c>
      <c r="E26" s="482">
        <f t="shared" si="5"/>
        <v>24.259472499476075</v>
      </c>
      <c r="F26" s="482">
        <f t="shared" si="6"/>
        <v>0</v>
      </c>
      <c r="G26" s="482">
        <f t="shared" si="7"/>
        <v>8479.3105726284703</v>
      </c>
      <c r="H26" s="482">
        <f t="shared" si="8"/>
        <v>1851.1029182573013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10362.8516052171</v>
      </c>
    </row>
    <row r="27" spans="1:17">
      <c r="A27" s="477" t="s">
        <v>554</v>
      </c>
      <c r="B27" s="478">
        <f t="shared" ca="1" si="2"/>
        <v>0</v>
      </c>
      <c r="C27" s="478">
        <f t="shared" ca="1" si="3"/>
        <v>0</v>
      </c>
      <c r="D27" s="478">
        <f t="shared" si="4"/>
        <v>0</v>
      </c>
      <c r="E27" s="478">
        <f t="shared" si="5"/>
        <v>0</v>
      </c>
      <c r="F27" s="478">
        <f t="shared" si="6"/>
        <v>0</v>
      </c>
      <c r="G27" s="478">
        <f t="shared" si="7"/>
        <v>120.0064475080065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120.0064475080065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6161.705621946021</v>
      </c>
      <c r="C31" s="488">
        <f t="shared" ca="1" si="18"/>
        <v>3085.2529411764704</v>
      </c>
      <c r="D31" s="488">
        <f t="shared" ca="1" si="18"/>
        <v>10966.191774323977</v>
      </c>
      <c r="E31" s="488">
        <f t="shared" si="18"/>
        <v>916.0829795862229</v>
      </c>
      <c r="F31" s="488">
        <f t="shared" ca="1" si="18"/>
        <v>2945.6444755909956</v>
      </c>
      <c r="G31" s="488">
        <f t="shared" si="18"/>
        <v>8599.3170201364774</v>
      </c>
      <c r="H31" s="488">
        <f t="shared" si="18"/>
        <v>1851.1029182573013</v>
      </c>
      <c r="I31" s="488">
        <f t="shared" si="18"/>
        <v>0</v>
      </c>
      <c r="J31" s="488">
        <f t="shared" si="18"/>
        <v>246.78398415219806</v>
      </c>
      <c r="K31" s="488">
        <f t="shared" si="18"/>
        <v>0</v>
      </c>
      <c r="L31" s="488">
        <f t="shared" ca="1" si="18"/>
        <v>0</v>
      </c>
      <c r="M31" s="488">
        <f t="shared" si="18"/>
        <v>0</v>
      </c>
      <c r="N31" s="488">
        <f t="shared" ca="1" si="18"/>
        <v>0</v>
      </c>
      <c r="O31" s="488">
        <f t="shared" si="18"/>
        <v>0</v>
      </c>
      <c r="P31" s="489">
        <f t="shared" si="18"/>
        <v>0</v>
      </c>
      <c r="Q31" s="489">
        <f t="shared" ca="1" si="18"/>
        <v>34772.081715169661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0.20938084374584573</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0.20938084374584573</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0.20938084374584573</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2018-06-27T09:41:02Z</dcterms:modified>
</cp:coreProperties>
</file>